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d.docs.live.net/89176ed9a793be45/HABITAT/Arborete/Documenti/Gigi/"/>
    </mc:Choice>
  </mc:AlternateContent>
  <xr:revisionPtr revIDLastSave="84" documentId="13_ncr:1_{50589C1A-04CA-402A-A560-BC4F564DA2C5}" xr6:coauthVersionLast="46" xr6:coauthVersionMax="46" xr10:uidLastSave="{3E96761F-F6D9-458D-8659-EC5C56A3CB4A}"/>
  <bookViews>
    <workbookView xWindow="-108" yWindow="-108" windowWidth="30936" windowHeight="16896" tabRatio="465" xr2:uid="{00000000-000D-0000-FFFF-FFFF00000000}"/>
  </bookViews>
  <sheets>
    <sheet name="CAVIX" sheetId="9" r:id="rId1"/>
    <sheet name="massa" sheetId="7" r:id="rId2"/>
    <sheet name="MASSATOP" sheetId="8" r:id="rId3"/>
    <sheet name="CON_SOB" sheetId="5" r:id="rId4"/>
    <sheet name="allungo" sheetId="10" r:id="rId5"/>
    <sheet name="cresco!" sheetId="11" r:id="rId6"/>
    <sheet name="carichi"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0" l="1"/>
  <c r="I7" i="12"/>
  <c r="I8" i="12" s="1"/>
  <c r="D9" i="11" l="1"/>
  <c r="D5" i="11"/>
  <c r="D11" i="11" s="1"/>
  <c r="D12" i="11" s="1"/>
  <c r="F15" i="9"/>
  <c r="C39" i="9"/>
  <c r="D16" i="11" l="1"/>
  <c r="K8" i="12"/>
  <c r="K5" i="10"/>
  <c r="L5" i="10"/>
  <c r="E9" i="10"/>
  <c r="E3" i="10"/>
  <c r="E2" i="10"/>
  <c r="D17" i="9"/>
  <c r="E10" i="10"/>
  <c r="E11" i="10"/>
  <c r="E12" i="10"/>
  <c r="E13" i="10"/>
  <c r="E14" i="10"/>
  <c r="E15" i="10"/>
  <c r="E16" i="10"/>
  <c r="E17" i="10"/>
  <c r="E18" i="10"/>
  <c r="E19" i="10"/>
  <c r="E20" i="10"/>
  <c r="E21" i="10"/>
  <c r="E22" i="10"/>
  <c r="E23" i="10"/>
  <c r="E24" i="10"/>
  <c r="F10" i="10"/>
  <c r="F11" i="10"/>
  <c r="F12" i="10"/>
  <c r="G12" i="10" s="1"/>
  <c r="F13" i="10"/>
  <c r="G13" i="10" s="1"/>
  <c r="F14" i="10"/>
  <c r="G14" i="10" s="1"/>
  <c r="F15" i="10"/>
  <c r="F16" i="10"/>
  <c r="G16" i="10" s="1"/>
  <c r="F17" i="10"/>
  <c r="F18" i="10"/>
  <c r="G18" i="10" s="1"/>
  <c r="F19" i="10"/>
  <c r="F20" i="10"/>
  <c r="G20" i="10" s="1"/>
  <c r="F21" i="10"/>
  <c r="G21" i="10" s="1"/>
  <c r="F22" i="10"/>
  <c r="G22" i="10" s="1"/>
  <c r="F23" i="10"/>
  <c r="F24" i="10"/>
  <c r="G24" i="10" s="1"/>
  <c r="F9" i="10"/>
  <c r="G9" i="10" s="1"/>
  <c r="H9" i="10" s="1"/>
  <c r="P14" i="9"/>
  <c r="C15" i="9"/>
  <c r="D15" i="9"/>
  <c r="E15" i="9"/>
  <c r="T15" i="9"/>
  <c r="C16" i="9"/>
  <c r="D16" i="9"/>
  <c r="E16" i="9"/>
  <c r="F16" i="9"/>
  <c r="S16" i="9"/>
  <c r="C17" i="9"/>
  <c r="E17" i="9"/>
  <c r="F17" i="9"/>
  <c r="S17" i="9"/>
  <c r="C18" i="9"/>
  <c r="D18" i="9"/>
  <c r="E18" i="9"/>
  <c r="F18" i="9"/>
  <c r="R18" i="9"/>
  <c r="C19" i="9"/>
  <c r="D19" i="9"/>
  <c r="E19" i="9"/>
  <c r="F19" i="9"/>
  <c r="Q19" i="9"/>
  <c r="C20" i="9"/>
  <c r="D20" i="9"/>
  <c r="E20" i="9"/>
  <c r="F20" i="9"/>
  <c r="P20" i="9"/>
  <c r="T20" i="9"/>
  <c r="C21" i="9"/>
  <c r="D21" i="9"/>
  <c r="E21" i="9"/>
  <c r="F21" i="9"/>
  <c r="S21" i="9"/>
  <c r="C22" i="9"/>
  <c r="D22" i="9"/>
  <c r="E22" i="9"/>
  <c r="F22" i="9"/>
  <c r="R22" i="9"/>
  <c r="C23" i="9"/>
  <c r="D23" i="9"/>
  <c r="E23" i="9"/>
  <c r="F23" i="9"/>
  <c r="Q23" i="9"/>
  <c r="C24" i="9"/>
  <c r="D24" i="9"/>
  <c r="E24" i="9"/>
  <c r="F24" i="9"/>
  <c r="P24" i="9"/>
  <c r="T24" i="9"/>
  <c r="C25" i="9"/>
  <c r="D25" i="9"/>
  <c r="E25" i="9"/>
  <c r="F25" i="9"/>
  <c r="S25" i="9"/>
  <c r="C26" i="9"/>
  <c r="D26" i="9"/>
  <c r="E26" i="9"/>
  <c r="F26" i="9"/>
  <c r="R26" i="9"/>
  <c r="C27" i="9"/>
  <c r="D27" i="9"/>
  <c r="E27" i="9"/>
  <c r="F27" i="9"/>
  <c r="Q27" i="9"/>
  <c r="C28" i="9"/>
  <c r="D28" i="9"/>
  <c r="E28" i="9"/>
  <c r="F28" i="9"/>
  <c r="P28" i="9"/>
  <c r="T28" i="9"/>
  <c r="C29" i="9"/>
  <c r="D29" i="9"/>
  <c r="E29" i="9"/>
  <c r="F29" i="9"/>
  <c r="S29" i="9"/>
  <c r="C30" i="9"/>
  <c r="D30" i="9"/>
  <c r="E30" i="9"/>
  <c r="F30" i="9"/>
  <c r="R30" i="9"/>
  <c r="C31" i="9"/>
  <c r="D31" i="9"/>
  <c r="E31" i="9"/>
  <c r="F31" i="9"/>
  <c r="Q31" i="9"/>
  <c r="C32" i="9"/>
  <c r="D32" i="9"/>
  <c r="E32" i="9"/>
  <c r="F32" i="9"/>
  <c r="P32" i="9"/>
  <c r="T32" i="9"/>
  <c r="C33" i="9"/>
  <c r="D33" i="9"/>
  <c r="E33" i="9"/>
  <c r="F33" i="9"/>
  <c r="S33" i="9"/>
  <c r="C34" i="9"/>
  <c r="D34" i="9"/>
  <c r="E34" i="9"/>
  <c r="F34" i="9"/>
  <c r="C35" i="9"/>
  <c r="D35" i="9"/>
  <c r="E35" i="9"/>
  <c r="F35" i="9"/>
  <c r="C36" i="9"/>
  <c r="D36" i="9"/>
  <c r="E36" i="9"/>
  <c r="F36" i="9"/>
  <c r="C37" i="9"/>
  <c r="D37" i="9"/>
  <c r="E37" i="9"/>
  <c r="F37" i="9"/>
  <c r="C38" i="9"/>
  <c r="D38" i="9"/>
  <c r="E38" i="9"/>
  <c r="F38" i="9"/>
  <c r="D39" i="9"/>
  <c r="E39" i="9"/>
  <c r="F39" i="9"/>
  <c r="G10" i="10" l="1"/>
  <c r="J10" i="10" s="1"/>
  <c r="R33" i="9"/>
  <c r="S32" i="9"/>
  <c r="T31" i="9"/>
  <c r="P31" i="9"/>
  <c r="Q30" i="9"/>
  <c r="R29" i="9"/>
  <c r="S28" i="9"/>
  <c r="T27" i="9"/>
  <c r="P27" i="9"/>
  <c r="Q26" i="9"/>
  <c r="R25" i="9"/>
  <c r="S24" i="9"/>
  <c r="T23" i="9"/>
  <c r="P23" i="9"/>
  <c r="Q22" i="9"/>
  <c r="R21" i="9"/>
  <c r="S20" i="9"/>
  <c r="T19" i="9"/>
  <c r="P19" i="9"/>
  <c r="Q18" i="9"/>
  <c r="R17" i="9"/>
  <c r="R16" i="9"/>
  <c r="S15" i="9"/>
  <c r="G17" i="10"/>
  <c r="J17" i="10" s="1"/>
  <c r="Q33" i="9"/>
  <c r="R32" i="9"/>
  <c r="S31" i="9"/>
  <c r="T30" i="9"/>
  <c r="P30" i="9"/>
  <c r="Q29" i="9"/>
  <c r="R28" i="9"/>
  <c r="S27" i="9"/>
  <c r="T26" i="9"/>
  <c r="P26" i="9"/>
  <c r="Q25" i="9"/>
  <c r="R24" i="9"/>
  <c r="S23" i="9"/>
  <c r="T22" i="9"/>
  <c r="P22" i="9"/>
  <c r="Q21" i="9"/>
  <c r="R20" i="9"/>
  <c r="S19" i="9"/>
  <c r="T18" i="9"/>
  <c r="P18" i="9"/>
  <c r="Q17" i="9"/>
  <c r="Q16" i="9"/>
  <c r="Q15" i="9"/>
  <c r="S14" i="9"/>
  <c r="T33" i="9"/>
  <c r="P33" i="9"/>
  <c r="Q32" i="9"/>
  <c r="R31" i="9"/>
  <c r="S30" i="9"/>
  <c r="T29" i="9"/>
  <c r="P29" i="9"/>
  <c r="Q28" i="9"/>
  <c r="R27" i="9"/>
  <c r="S26" i="9"/>
  <c r="T25" i="9"/>
  <c r="P25" i="9"/>
  <c r="Q24" i="9"/>
  <c r="R23" i="9"/>
  <c r="S22" i="9"/>
  <c r="T21" i="9"/>
  <c r="P21" i="9"/>
  <c r="Q20" i="9"/>
  <c r="R19" i="9"/>
  <c r="S18" i="9"/>
  <c r="T17" i="9"/>
  <c r="P17" i="9"/>
  <c r="T16" i="9"/>
  <c r="P16" i="9"/>
  <c r="Q14" i="9"/>
  <c r="I9" i="10"/>
  <c r="J9" i="10"/>
  <c r="K10" i="10"/>
  <c r="G23" i="10"/>
  <c r="K23" i="10" s="1"/>
  <c r="G19" i="10"/>
  <c r="J19" i="10" s="1"/>
  <c r="G15" i="10"/>
  <c r="K15" i="10" s="1"/>
  <c r="G11" i="10"/>
  <c r="L11" i="10" s="1"/>
  <c r="J24" i="10"/>
  <c r="L24" i="10"/>
  <c r="K24" i="10"/>
  <c r="J22" i="10"/>
  <c r="L22" i="10"/>
  <c r="K22" i="10"/>
  <c r="J20" i="10"/>
  <c r="L20" i="10"/>
  <c r="K20" i="10"/>
  <c r="J18" i="10"/>
  <c r="L18" i="10"/>
  <c r="K18" i="10"/>
  <c r="J16" i="10"/>
  <c r="L16" i="10"/>
  <c r="K16" i="10"/>
  <c r="J14" i="10"/>
  <c r="L14" i="10"/>
  <c r="K14" i="10"/>
  <c r="J12" i="10"/>
  <c r="L12" i="10"/>
  <c r="K12" i="10"/>
  <c r="J23" i="10"/>
  <c r="L23" i="10"/>
  <c r="K21" i="10"/>
  <c r="J21" i="10"/>
  <c r="L21" i="10"/>
  <c r="K19" i="10"/>
  <c r="K17" i="10"/>
  <c r="K13" i="10"/>
  <c r="J13" i="10"/>
  <c r="L13" i="10"/>
  <c r="L9" i="10"/>
  <c r="K9" i="10"/>
  <c r="R15" i="9"/>
  <c r="P15" i="9"/>
  <c r="T14" i="9"/>
  <c r="R14" i="9"/>
  <c r="H23" i="10"/>
  <c r="I23" i="10" s="1"/>
  <c r="H21" i="10"/>
  <c r="I21" i="10" s="1"/>
  <c r="H19" i="10"/>
  <c r="I19" i="10" s="1"/>
  <c r="H15" i="10"/>
  <c r="I15" i="10" s="1"/>
  <c r="H13" i="10"/>
  <c r="I13" i="10" s="1"/>
  <c r="H24" i="10"/>
  <c r="I24" i="10" s="1"/>
  <c r="H22" i="10"/>
  <c r="I22" i="10" s="1"/>
  <c r="H20" i="10"/>
  <c r="I20" i="10" s="1"/>
  <c r="H18" i="10"/>
  <c r="I18" i="10" s="1"/>
  <c r="H16" i="10"/>
  <c r="I16" i="10" s="1"/>
  <c r="H14" i="10"/>
  <c r="I14" i="10" s="1"/>
  <c r="H12" i="10"/>
  <c r="I12" i="10" s="1"/>
  <c r="S37" i="8"/>
  <c r="S32" i="8" s="1"/>
  <c r="W37" i="8"/>
  <c r="S38" i="8"/>
  <c r="W38" i="8"/>
  <c r="U38" i="8" s="1"/>
  <c r="E39" i="8"/>
  <c r="E42" i="8" s="1"/>
  <c r="U39" i="8"/>
  <c r="T39" i="8" s="1"/>
  <c r="U40" i="8"/>
  <c r="T40" i="8" s="1"/>
  <c r="U41" i="8"/>
  <c r="V41" i="8" s="1"/>
  <c r="U42" i="8"/>
  <c r="V42" i="8" s="1"/>
  <c r="U43" i="8"/>
  <c r="T43" i="8" s="1"/>
  <c r="U44" i="8"/>
  <c r="T44" i="8" s="1"/>
  <c r="U45" i="8"/>
  <c r="T45" i="8" s="1"/>
  <c r="U46" i="8"/>
  <c r="T46" i="8" s="1"/>
  <c r="U47" i="8"/>
  <c r="T47" i="8" s="1"/>
  <c r="U48" i="8"/>
  <c r="T48" i="8" s="1"/>
  <c r="U49" i="8"/>
  <c r="T49" i="8" s="1"/>
  <c r="U50" i="8"/>
  <c r="T50" i="8" s="1"/>
  <c r="U51" i="8"/>
  <c r="T51" i="8" s="1"/>
  <c r="U52" i="8"/>
  <c r="T52" i="8" s="1"/>
  <c r="U53" i="8"/>
  <c r="T53" i="8" s="1"/>
  <c r="U54" i="8"/>
  <c r="T54" i="8" s="1"/>
  <c r="U55" i="8"/>
  <c r="T55" i="8" s="1"/>
  <c r="AB55" i="8"/>
  <c r="U56" i="8"/>
  <c r="T56" i="8" s="1"/>
  <c r="AB56" i="8"/>
  <c r="U57" i="8"/>
  <c r="T57" i="8" s="1"/>
  <c r="AB57" i="8"/>
  <c r="U58" i="8"/>
  <c r="T58" i="8" s="1"/>
  <c r="AB58" i="8"/>
  <c r="U59" i="8"/>
  <c r="T59" i="8" s="1"/>
  <c r="AB59" i="8"/>
  <c r="E60" i="8"/>
  <c r="E66" i="8" s="1"/>
  <c r="U60" i="8"/>
  <c r="T60" i="8" s="1"/>
  <c r="AB60" i="8"/>
  <c r="U61" i="8"/>
  <c r="T61" i="8" s="1"/>
  <c r="AB61" i="8"/>
  <c r="E62" i="8"/>
  <c r="U62" i="8"/>
  <c r="T62" i="8" s="1"/>
  <c r="AB62" i="8"/>
  <c r="U63" i="8"/>
  <c r="T63" i="8" s="1"/>
  <c r="AB63" i="8"/>
  <c r="E64" i="8"/>
  <c r="U64" i="8"/>
  <c r="T64" i="8" s="1"/>
  <c r="AB64" i="8"/>
  <c r="U65" i="8"/>
  <c r="T65" i="8" s="1"/>
  <c r="AB65" i="8"/>
  <c r="U66" i="8"/>
  <c r="T66" i="8" s="1"/>
  <c r="U67" i="8"/>
  <c r="T67" i="8" s="1"/>
  <c r="U68" i="8"/>
  <c r="T68" i="8" s="1"/>
  <c r="V68" i="8"/>
  <c r="U69" i="8"/>
  <c r="T69" i="8" s="1"/>
  <c r="U70" i="8"/>
  <c r="T70" i="8" s="1"/>
  <c r="U71" i="8"/>
  <c r="T71" i="8" s="1"/>
  <c r="U72" i="8"/>
  <c r="T72" i="8" s="1"/>
  <c r="V72" i="8"/>
  <c r="U73" i="8"/>
  <c r="T73" i="8" s="1"/>
  <c r="U74" i="8"/>
  <c r="T74" i="8" s="1"/>
  <c r="U75" i="8"/>
  <c r="T75" i="8" s="1"/>
  <c r="U76" i="8"/>
  <c r="T76" i="8" s="1"/>
  <c r="U77" i="8"/>
  <c r="T77" i="8" s="1"/>
  <c r="U78" i="8"/>
  <c r="T78" i="8" s="1"/>
  <c r="V78" i="8"/>
  <c r="U79" i="8"/>
  <c r="T79" i="8" s="1"/>
  <c r="U80" i="8"/>
  <c r="T80" i="8" s="1"/>
  <c r="U81" i="8"/>
  <c r="T81" i="8" s="1"/>
  <c r="U82" i="8"/>
  <c r="T82" i="8" s="1"/>
  <c r="U83" i="8"/>
  <c r="T83" i="8" s="1"/>
  <c r="U84" i="8"/>
  <c r="T84" i="8" s="1"/>
  <c r="U85" i="8"/>
  <c r="T85" i="8" s="1"/>
  <c r="U86" i="8"/>
  <c r="T86" i="8" s="1"/>
  <c r="V86" i="8"/>
  <c r="U87" i="8"/>
  <c r="T87" i="8" s="1"/>
  <c r="U88" i="8"/>
  <c r="T88" i="8" s="1"/>
  <c r="V88" i="8"/>
  <c r="U89" i="8"/>
  <c r="T89" i="8" s="1"/>
  <c r="U90" i="8"/>
  <c r="T90" i="8" s="1"/>
  <c r="U91" i="8"/>
  <c r="T91" i="8" s="1"/>
  <c r="K23" i="5"/>
  <c r="K22" i="5"/>
  <c r="K24" i="5" s="1"/>
  <c r="J41" i="7"/>
  <c r="I41" i="7"/>
  <c r="H41" i="7"/>
  <c r="G41" i="7"/>
  <c r="F41" i="7"/>
  <c r="E41" i="7"/>
  <c r="D41" i="7"/>
  <c r="C41" i="7"/>
  <c r="J40" i="7"/>
  <c r="I40" i="7"/>
  <c r="H40" i="7"/>
  <c r="G40" i="7"/>
  <c r="F40" i="7"/>
  <c r="E40" i="7"/>
  <c r="D40" i="7"/>
  <c r="C40" i="7"/>
  <c r="J39" i="7"/>
  <c r="I39" i="7"/>
  <c r="H39" i="7"/>
  <c r="G39" i="7"/>
  <c r="F39" i="7"/>
  <c r="E39" i="7"/>
  <c r="D39" i="7"/>
  <c r="C39" i="7"/>
  <c r="J38" i="7"/>
  <c r="I38" i="7"/>
  <c r="H38" i="7"/>
  <c r="G38" i="7"/>
  <c r="F38" i="7"/>
  <c r="E38" i="7"/>
  <c r="D38" i="7"/>
  <c r="C38" i="7"/>
  <c r="J37" i="7"/>
  <c r="I37" i="7"/>
  <c r="H37" i="7"/>
  <c r="G37" i="7"/>
  <c r="F37" i="7"/>
  <c r="E37" i="7"/>
  <c r="D37" i="7"/>
  <c r="C37" i="7"/>
  <c r="J36" i="7"/>
  <c r="I36" i="7"/>
  <c r="H36" i="7"/>
  <c r="G36" i="7"/>
  <c r="F36" i="7"/>
  <c r="E36" i="7"/>
  <c r="D36" i="7"/>
  <c r="C36" i="7"/>
  <c r="J35" i="7"/>
  <c r="I35" i="7"/>
  <c r="H35" i="7"/>
  <c r="G35" i="7"/>
  <c r="F35" i="7"/>
  <c r="E35" i="7"/>
  <c r="D35" i="7"/>
  <c r="C35" i="7"/>
  <c r="J34" i="7"/>
  <c r="I34" i="7"/>
  <c r="H34" i="7"/>
  <c r="G34" i="7"/>
  <c r="F34" i="7"/>
  <c r="E34" i="7"/>
  <c r="D34" i="7"/>
  <c r="C34" i="7"/>
  <c r="J33" i="7"/>
  <c r="I33" i="7"/>
  <c r="H33" i="7"/>
  <c r="G33" i="7"/>
  <c r="F33" i="7"/>
  <c r="E33" i="7"/>
  <c r="D33" i="7"/>
  <c r="C33" i="7"/>
  <c r="J32" i="7"/>
  <c r="I32" i="7"/>
  <c r="H32" i="7"/>
  <c r="G32" i="7"/>
  <c r="F32" i="7"/>
  <c r="E32" i="7"/>
  <c r="D32" i="7"/>
  <c r="C32" i="7"/>
  <c r="J31" i="7"/>
  <c r="I31" i="7"/>
  <c r="H31" i="7"/>
  <c r="G31" i="7"/>
  <c r="F31" i="7"/>
  <c r="E31" i="7"/>
  <c r="D31" i="7"/>
  <c r="C31" i="7"/>
  <c r="J30" i="7"/>
  <c r="I30" i="7"/>
  <c r="H30" i="7"/>
  <c r="G30" i="7"/>
  <c r="F30" i="7"/>
  <c r="E30" i="7"/>
  <c r="D30" i="7"/>
  <c r="C30" i="7"/>
  <c r="J29" i="7"/>
  <c r="I29" i="7"/>
  <c r="H29" i="7"/>
  <c r="G29" i="7"/>
  <c r="F29" i="7"/>
  <c r="E29" i="7"/>
  <c r="D29" i="7"/>
  <c r="C29" i="7"/>
  <c r="J28" i="7"/>
  <c r="I28" i="7"/>
  <c r="H28" i="7"/>
  <c r="G28" i="7"/>
  <c r="F28" i="7"/>
  <c r="E28" i="7"/>
  <c r="D28" i="7"/>
  <c r="C28" i="7"/>
  <c r="J27" i="7"/>
  <c r="I27" i="7"/>
  <c r="H27" i="7"/>
  <c r="G27" i="7"/>
  <c r="F27" i="7"/>
  <c r="E27" i="7"/>
  <c r="D27" i="7"/>
  <c r="C27" i="7"/>
  <c r="J26" i="7"/>
  <c r="I26" i="7"/>
  <c r="H26" i="7"/>
  <c r="G26" i="7"/>
  <c r="F26" i="7"/>
  <c r="E26" i="7"/>
  <c r="D26" i="7"/>
  <c r="C26" i="7"/>
  <c r="J25" i="7"/>
  <c r="I25" i="7"/>
  <c r="H25" i="7"/>
  <c r="G25" i="7"/>
  <c r="F25" i="7"/>
  <c r="E25" i="7"/>
  <c r="D25" i="7"/>
  <c r="C25" i="7"/>
  <c r="J24" i="7"/>
  <c r="I24" i="7"/>
  <c r="H24" i="7"/>
  <c r="G24" i="7"/>
  <c r="F24" i="7"/>
  <c r="E24" i="7"/>
  <c r="D24" i="7"/>
  <c r="C24" i="7"/>
  <c r="J23" i="7"/>
  <c r="I23" i="7"/>
  <c r="H23" i="7"/>
  <c r="G23" i="7"/>
  <c r="F23" i="7"/>
  <c r="E23" i="7"/>
  <c r="D23" i="7"/>
  <c r="C23" i="7"/>
  <c r="J22" i="7"/>
  <c r="I22" i="7"/>
  <c r="H22" i="7"/>
  <c r="G22" i="7"/>
  <c r="F22" i="7"/>
  <c r="E22" i="7"/>
  <c r="D22" i="7"/>
  <c r="C22" i="7"/>
  <c r="J21" i="7"/>
  <c r="I21" i="7"/>
  <c r="H21" i="7"/>
  <c r="G21" i="7"/>
  <c r="F21" i="7"/>
  <c r="E21" i="7"/>
  <c r="D21" i="7"/>
  <c r="C21" i="7"/>
  <c r="J20" i="7"/>
  <c r="I20" i="7"/>
  <c r="H20" i="7"/>
  <c r="G20" i="7"/>
  <c r="F20" i="7"/>
  <c r="E20" i="7"/>
  <c r="D20" i="7"/>
  <c r="C20" i="7"/>
  <c r="J19" i="7"/>
  <c r="I19" i="7"/>
  <c r="H19" i="7"/>
  <c r="G19" i="7"/>
  <c r="F19" i="7"/>
  <c r="E19" i="7"/>
  <c r="D19" i="7"/>
  <c r="C19" i="7"/>
  <c r="J18" i="7"/>
  <c r="I18" i="7"/>
  <c r="H18" i="7"/>
  <c r="G18" i="7"/>
  <c r="F18" i="7"/>
  <c r="E18" i="7"/>
  <c r="D18" i="7"/>
  <c r="C18" i="7"/>
  <c r="J17" i="7"/>
  <c r="I17" i="7"/>
  <c r="H17" i="7"/>
  <c r="G17" i="7"/>
  <c r="F17" i="7"/>
  <c r="E17" i="7"/>
  <c r="D17" i="7"/>
  <c r="C17" i="7"/>
  <c r="J16" i="7"/>
  <c r="I16" i="7"/>
  <c r="H16" i="7"/>
  <c r="G16" i="7"/>
  <c r="F16" i="7"/>
  <c r="E16" i="7"/>
  <c r="D16" i="7"/>
  <c r="C16" i="7"/>
  <c r="J15" i="7"/>
  <c r="I15" i="7"/>
  <c r="H15" i="7"/>
  <c r="G15" i="7"/>
  <c r="F15" i="7"/>
  <c r="E15" i="7"/>
  <c r="D15" i="7"/>
  <c r="C15" i="7"/>
  <c r="J14" i="7"/>
  <c r="I14" i="7"/>
  <c r="H14" i="7"/>
  <c r="G14" i="7"/>
  <c r="F14" i="7"/>
  <c r="E14" i="7"/>
  <c r="D14" i="7"/>
  <c r="C14" i="7"/>
  <c r="J13" i="7"/>
  <c r="I13" i="7"/>
  <c r="H13" i="7"/>
  <c r="G13" i="7"/>
  <c r="F13" i="7"/>
  <c r="E13" i="7"/>
  <c r="D13" i="7"/>
  <c r="C13" i="7"/>
  <c r="J12" i="7"/>
  <c r="I12" i="7"/>
  <c r="H12" i="7"/>
  <c r="G12" i="7"/>
  <c r="F12" i="7"/>
  <c r="E12" i="7"/>
  <c r="D12" i="7"/>
  <c r="C12" i="7"/>
  <c r="J11" i="7"/>
  <c r="I11" i="7"/>
  <c r="H11" i="7"/>
  <c r="G11" i="7"/>
  <c r="F11" i="7"/>
  <c r="E11" i="7"/>
  <c r="D11" i="7"/>
  <c r="C11" i="7"/>
  <c r="J10" i="7"/>
  <c r="I10" i="7"/>
  <c r="H10" i="7"/>
  <c r="G10" i="7"/>
  <c r="F10" i="7"/>
  <c r="E10" i="7"/>
  <c r="D10" i="7"/>
  <c r="C10" i="7"/>
  <c r="M19" i="5"/>
  <c r="N19" i="5"/>
  <c r="N25" i="5" s="1"/>
  <c r="K25" i="5" s="1"/>
  <c r="F20" i="5"/>
  <c r="G20" i="5"/>
  <c r="D24" i="5" s="1"/>
  <c r="M20" i="5"/>
  <c r="N20" i="5"/>
  <c r="D21" i="5"/>
  <c r="D23" i="5" s="1"/>
  <c r="K21" i="5"/>
  <c r="D22" i="5"/>
  <c r="T41" i="8" l="1"/>
  <c r="V40" i="8"/>
  <c r="V80" i="8"/>
  <c r="V70" i="8"/>
  <c r="V76" i="8"/>
  <c r="L15" i="10"/>
  <c r="V84" i="8"/>
  <c r="J15" i="10"/>
  <c r="L19" i="10"/>
  <c r="V62" i="8"/>
  <c r="H17" i="10"/>
  <c r="I17" i="10" s="1"/>
  <c r="T42" i="8"/>
  <c r="V90" i="8"/>
  <c r="V82" i="8"/>
  <c r="V74" i="8"/>
  <c r="V66" i="8"/>
  <c r="V63" i="8"/>
  <c r="L17" i="10"/>
  <c r="J11" i="10"/>
  <c r="V59" i="8"/>
  <c r="V58" i="8"/>
  <c r="V57" i="8"/>
  <c r="V56" i="8"/>
  <c r="V55" i="8"/>
  <c r="V53" i="8"/>
  <c r="V51" i="8"/>
  <c r="V49" i="8"/>
  <c r="V47" i="8"/>
  <c r="V45" i="8"/>
  <c r="V43" i="8"/>
  <c r="U37" i="8"/>
  <c r="T37" i="8" s="1"/>
  <c r="K11" i="10"/>
  <c r="L10" i="10"/>
  <c r="H10" i="10"/>
  <c r="I10" i="10" s="1"/>
  <c r="H11" i="10"/>
  <c r="I11" i="10" s="1"/>
  <c r="E41" i="8"/>
  <c r="E43" i="8"/>
  <c r="T38" i="8"/>
  <c r="V38" i="8"/>
  <c r="V91" i="8"/>
  <c r="V89" i="8"/>
  <c r="V87" i="8"/>
  <c r="V85" i="8"/>
  <c r="V83" i="8"/>
  <c r="V81" i="8"/>
  <c r="V79" i="8"/>
  <c r="V77" i="8"/>
  <c r="V75" i="8"/>
  <c r="V73" i="8"/>
  <c r="V71" i="8"/>
  <c r="V69" i="8"/>
  <c r="V67" i="8"/>
  <c r="V65" i="8"/>
  <c r="V64" i="8"/>
  <c r="V61" i="8"/>
  <c r="V60" i="8"/>
  <c r="V54" i="8"/>
  <c r="V52" i="8"/>
  <c r="V50" i="8"/>
  <c r="V48" i="8"/>
  <c r="V46" i="8"/>
  <c r="V44" i="8"/>
  <c r="V39" i="8"/>
  <c r="W36" i="8"/>
  <c r="S36" i="8"/>
  <c r="W34" i="8"/>
  <c r="S34" i="8"/>
  <c r="W32" i="8"/>
  <c r="D25" i="5"/>
  <c r="M25" i="5"/>
  <c r="O25" i="5"/>
  <c r="K26" i="5" s="1"/>
  <c r="V37" i="8" l="1"/>
  <c r="W33" i="8"/>
  <c r="U32" i="8"/>
  <c r="T32" i="8" s="1"/>
  <c r="W35" i="8"/>
  <c r="U34" i="8"/>
  <c r="T34" i="8" s="1"/>
  <c r="U36" i="8"/>
  <c r="T36" i="8" s="1"/>
  <c r="S35" i="8"/>
  <c r="S33" i="8"/>
  <c r="D27" i="5"/>
  <c r="D26" i="5"/>
  <c r="D28" i="5" s="1"/>
  <c r="K27" i="5"/>
  <c r="K29" i="5" s="1"/>
  <c r="K28" i="5"/>
  <c r="U33" i="8" l="1"/>
  <c r="T33" i="8" s="1"/>
  <c r="V33" i="8"/>
  <c r="U35" i="8"/>
  <c r="T35" i="8" s="1"/>
  <c r="V34" i="8"/>
  <c r="V36" i="8"/>
  <c r="V32" i="8"/>
  <c r="D29" i="5"/>
  <c r="K30" i="5"/>
  <c r="V35" i="8" l="1"/>
</calcChain>
</file>

<file path=xl/sharedStrings.xml><?xml version="1.0" encoding="utf-8"?>
<sst xmlns="http://schemas.openxmlformats.org/spreadsheetml/2006/main" count="342" uniqueCount="206">
  <si>
    <t>cos</t>
  </si>
  <si>
    <t>sen</t>
  </si>
  <si>
    <t>carico</t>
  </si>
  <si>
    <t>(t)</t>
  </si>
  <si>
    <t>-</t>
  </si>
  <si>
    <t>kg/mc</t>
  </si>
  <si>
    <t>F</t>
  </si>
  <si>
    <t>lunghezza tirante</t>
  </si>
  <si>
    <t>m</t>
  </si>
  <si>
    <t>t</t>
  </si>
  <si>
    <t>allungamento %</t>
  </si>
  <si>
    <t>A3</t>
  </si>
  <si>
    <t>A5</t>
  </si>
  <si>
    <t>A10</t>
  </si>
  <si>
    <t>A20</t>
  </si>
  <si>
    <t>C (t)</t>
  </si>
  <si>
    <t>D (cm)</t>
  </si>
  <si>
    <t>Resistenza a compressione (N/mmq)</t>
  </si>
  <si>
    <t>A15</t>
  </si>
  <si>
    <t>A25</t>
  </si>
  <si>
    <t>A30</t>
  </si>
  <si>
    <t>A40</t>
  </si>
  <si>
    <t>Forza</t>
  </si>
  <si>
    <t>L</t>
  </si>
  <si>
    <t>Lunghezza del tirante</t>
  </si>
  <si>
    <t>kg*m</t>
  </si>
  <si>
    <t>Tc</t>
  </si>
  <si>
    <t>TENSIONE SUL CAVO</t>
  </si>
  <si>
    <t>Fv</t>
  </si>
  <si>
    <t>forza orizzontale sul fusto</t>
  </si>
  <si>
    <t>Fo</t>
  </si>
  <si>
    <t>forza verticale sul fusto</t>
  </si>
  <si>
    <t>Tcv</t>
  </si>
  <si>
    <t>tensione verticale nel cavo</t>
  </si>
  <si>
    <t>Tco</t>
  </si>
  <si>
    <t>tensione orizzontale nel cavo</t>
  </si>
  <si>
    <t>°</t>
  </si>
  <si>
    <t>a</t>
  </si>
  <si>
    <t>tangente angolo del cavo</t>
  </si>
  <si>
    <t>kg</t>
  </si>
  <si>
    <t>Mch</t>
  </si>
  <si>
    <t>massa della chioma</t>
  </si>
  <si>
    <t>Mt</t>
  </si>
  <si>
    <t>massa del tronco fino all'inserzione</t>
  </si>
  <si>
    <t>Pt</t>
  </si>
  <si>
    <t>massa dell'albero</t>
  </si>
  <si>
    <t>Hb</t>
  </si>
  <si>
    <t>baricentro branca</t>
  </si>
  <si>
    <t>baricentro tronco</t>
  </si>
  <si>
    <t>Mb</t>
  </si>
  <si>
    <t>massa della branca</t>
  </si>
  <si>
    <t>g</t>
  </si>
  <si>
    <t>angolo del pendio</t>
  </si>
  <si>
    <t>b</t>
  </si>
  <si>
    <t>angolo inserzione branca</t>
  </si>
  <si>
    <t>angolo inclinazione albero</t>
  </si>
  <si>
    <t>Dcb</t>
  </si>
  <si>
    <t>distanza cavo - branca</t>
  </si>
  <si>
    <t>tan</t>
  </si>
  <si>
    <t>distanza planim. cavo - branca</t>
  </si>
  <si>
    <t>r</t>
  </si>
  <si>
    <t>densità del legno fresco</t>
  </si>
  <si>
    <t>coefficiente di forma</t>
  </si>
  <si>
    <t>coefficiente di forma cormometrico</t>
  </si>
  <si>
    <t>cm</t>
  </si>
  <si>
    <t>dt</t>
  </si>
  <si>
    <t>diametro branca al cavo</t>
  </si>
  <si>
    <t>coefficiente di forma dendrometrico</t>
  </si>
  <si>
    <t>Db</t>
  </si>
  <si>
    <t>diametro branca all'inserzione</t>
  </si>
  <si>
    <t>Lb</t>
  </si>
  <si>
    <t>lunghezza branca</t>
  </si>
  <si>
    <t>Htot</t>
  </si>
  <si>
    <t>altezza totale dell'albero</t>
  </si>
  <si>
    <t>Massa del tronco (q)</t>
  </si>
  <si>
    <t>L (m)</t>
  </si>
  <si>
    <t>coeff. F</t>
  </si>
  <si>
    <r>
      <t>r</t>
    </r>
    <r>
      <rPr>
        <b/>
        <sz val="10"/>
        <rFont val="Arial"/>
        <family val="2"/>
      </rPr>
      <t xml:space="preserve"> (kg/mc)</t>
    </r>
  </si>
  <si>
    <t>MASSATOP</t>
  </si>
  <si>
    <t>Quest'opera è stata rilasciata sotto la licenza Creative Commons Attribuzione-Non opere derivate 3.0 Unported.</t>
  </si>
  <si>
    <t>Per leggere una copia della licenza visita il sito web http://creativecommons.org/licenses/by-nd/3.0/deed.it</t>
  </si>
  <si>
    <t>l'Autore declina ogni responsabilità derivante da un uso improprio di questo software o dei risultati ottenuti dalla sua applicazione</t>
  </si>
  <si>
    <t>CAVIX</t>
  </si>
  <si>
    <t>CON_SOB</t>
  </si>
  <si>
    <t>Ulmus campestre</t>
  </si>
  <si>
    <t>Tilia platyphillos</t>
  </si>
  <si>
    <t>Sorbus domestica</t>
  </si>
  <si>
    <t>Sorbus aucuparia</t>
  </si>
  <si>
    <t>Salix</t>
  </si>
  <si>
    <t>Robinia pseudoacacia</t>
  </si>
  <si>
    <t>Quercus robur</t>
  </si>
  <si>
    <t>Quercus petrea</t>
  </si>
  <si>
    <t>Quercus ilex</t>
  </si>
  <si>
    <t>Quercus cerris</t>
  </si>
  <si>
    <t>Prunus avium</t>
  </si>
  <si>
    <t>Populus nigra</t>
  </si>
  <si>
    <t>Populus euroamericana</t>
  </si>
  <si>
    <t>Populus alba</t>
  </si>
  <si>
    <t>Platanus orientalis</t>
  </si>
  <si>
    <t>Ostrya carpinifolia</t>
  </si>
  <si>
    <t>Olea europea</t>
  </si>
  <si>
    <t>Morus alba</t>
  </si>
  <si>
    <t>Laurus nobilis</t>
  </si>
  <si>
    <t>Laburunum anagyroides</t>
  </si>
  <si>
    <t>Juglans regia</t>
  </si>
  <si>
    <t>Ilex aquifolium</t>
  </si>
  <si>
    <t>Fraxinus excelsior</t>
  </si>
  <si>
    <t>Fagus sylvatica</t>
  </si>
  <si>
    <t>Eucalyptus rostrata</t>
  </si>
  <si>
    <t>Eucalyptus globulus</t>
  </si>
  <si>
    <t>Lunghezza del toppo</t>
  </si>
  <si>
    <t>Crataegus monogyna</t>
  </si>
  <si>
    <t>Celtis australis</t>
  </si>
  <si>
    <t>q</t>
  </si>
  <si>
    <t>Castanea sativa</t>
  </si>
  <si>
    <t>Massa del tronco</t>
  </si>
  <si>
    <t>Carpinus betulus</t>
  </si>
  <si>
    <t>Betula alba</t>
  </si>
  <si>
    <t>Alnus incana</t>
  </si>
  <si>
    <t>Densità</t>
  </si>
  <si>
    <t>Alnus glutinosa</t>
  </si>
  <si>
    <t>Ailanthus glandulosa</t>
  </si>
  <si>
    <t>rastremazione (coeff. F)</t>
  </si>
  <si>
    <t>Aesculum hippocastanum</t>
  </si>
  <si>
    <t>Acer pseudoplatanus</t>
  </si>
  <si>
    <t>%</t>
  </si>
  <si>
    <t>percento di cavità</t>
  </si>
  <si>
    <t>Acer platanoides</t>
  </si>
  <si>
    <t>Acer campestre</t>
  </si>
  <si>
    <t>Diametro del toppo alla base</t>
  </si>
  <si>
    <t>Taxus baccata</t>
  </si>
  <si>
    <t>Pseudotsuga menziesii</t>
  </si>
  <si>
    <t>Fresco</t>
  </si>
  <si>
    <t>Stato del legno</t>
  </si>
  <si>
    <t>Pinus uncinata</t>
  </si>
  <si>
    <t>Pinus sylvestris</t>
  </si>
  <si>
    <t>rastremazione cono: F = 0.33</t>
  </si>
  <si>
    <t>Picea abies</t>
  </si>
  <si>
    <t>Specie arborea</t>
  </si>
  <si>
    <t>Pinus pinea</t>
  </si>
  <si>
    <t>rastremazione cilindro: F = 1</t>
  </si>
  <si>
    <t>Pinus pinaster</t>
  </si>
  <si>
    <t>Pinus nigra</t>
  </si>
  <si>
    <t>Stima della lunghezza di un toppo di massa definita a priori</t>
  </si>
  <si>
    <t>Pinus laricio</t>
  </si>
  <si>
    <t>Pinus halepensis</t>
  </si>
  <si>
    <t>Pinus cembra</t>
  </si>
  <si>
    <t>Larix decidua</t>
  </si>
  <si>
    <t>Cupressus sempervirens</t>
  </si>
  <si>
    <t>Cedrus atlantica</t>
  </si>
  <si>
    <t>Abies alba</t>
  </si>
  <si>
    <t>Latifoglia</t>
  </si>
  <si>
    <t>Conifera</t>
  </si>
  <si>
    <t>Legno molto pesante</t>
  </si>
  <si>
    <t>Secco</t>
  </si>
  <si>
    <t>Legno pesante</t>
  </si>
  <si>
    <t>Quasi secco</t>
  </si>
  <si>
    <t>Legno intermedio</t>
  </si>
  <si>
    <t>Intermedio</t>
  </si>
  <si>
    <t>Legno leggero</t>
  </si>
  <si>
    <t>Quasi fresco</t>
  </si>
  <si>
    <t>Legno molto leggero</t>
  </si>
  <si>
    <t>Stima della massa di un toppo</t>
  </si>
  <si>
    <t>freccia</t>
  </si>
  <si>
    <t>diametro</t>
  </si>
  <si>
    <t>stress al limite elastico</t>
  </si>
  <si>
    <t>se</t>
  </si>
  <si>
    <t>kN/cmq</t>
  </si>
  <si>
    <t>W</t>
  </si>
  <si>
    <t>f</t>
  </si>
  <si>
    <t>El</t>
  </si>
  <si>
    <t>modulo elastico</t>
  </si>
  <si>
    <t>Ea</t>
  </si>
  <si>
    <t>I</t>
  </si>
  <si>
    <t>all max</t>
  </si>
  <si>
    <t>carico corda (t)</t>
  </si>
  <si>
    <t>elasticità corda (%)</t>
  </si>
  <si>
    <t>F (kN)</t>
  </si>
  <si>
    <t>carico corda (kN)</t>
  </si>
  <si>
    <t>l</t>
  </si>
  <si>
    <t>cm^4</t>
  </si>
  <si>
    <t>cm^3</t>
  </si>
  <si>
    <t>kN</t>
  </si>
  <si>
    <t>anello annuale medio</t>
  </si>
  <si>
    <t>mm</t>
  </si>
  <si>
    <t>incremento diametrico annuo</t>
  </si>
  <si>
    <t>diametro al momento dell'installazione</t>
  </si>
  <si>
    <t>anni di lavoro</t>
  </si>
  <si>
    <t>diametro al termine della vita lavorativa</t>
  </si>
  <si>
    <t>lunghezza del tirante</t>
  </si>
  <si>
    <t>incremento di tensione</t>
  </si>
  <si>
    <t>circonferenza al termine della vita lavorativa</t>
  </si>
  <si>
    <t>circonferenza al momento dell'installazione</t>
  </si>
  <si>
    <t>D</t>
  </si>
  <si>
    <t>H</t>
  </si>
  <si>
    <t>angolo  del cavo</t>
  </si>
  <si>
    <t>carico reale sulla corda</t>
  </si>
  <si>
    <t>altezza del punto di applicazione del carico</t>
  </si>
  <si>
    <t>HC</t>
  </si>
  <si>
    <t>distanza dall'asse del carico</t>
  </si>
  <si>
    <t>momento ribaltante</t>
  </si>
  <si>
    <t>Mrib</t>
  </si>
  <si>
    <t>kNm</t>
  </si>
  <si>
    <t>altezza del punto di applicazione della corda</t>
  </si>
  <si>
    <t xml:space="preserve"> gigisani@giforperglialberi.it</t>
  </si>
  <si>
    <t xml:space="preserve"> realizzato da Luigi Sani - ARBORETE (www.arborete.it)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</si>
</sst>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_-[$€]\ * #,##0.00_-;\-[$€]\ * #,##0.00_-;_-[$€]\ * &quot;-&quot;??_-;_-@_-"/>
    <numFmt numFmtId="166" formatCode="0.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sz val="11"/>
      <color theme="1"/>
      <name val="Calibri"/>
      <family val="2"/>
      <scheme val="minor"/>
    </font>
    <font>
      <b/>
      <sz val="11"/>
      <color rgb="FFFF0000"/>
      <name val="Calibri"/>
      <family val="2"/>
      <scheme val="minor"/>
    </font>
    <font>
      <b/>
      <i/>
      <sz val="11"/>
      <color theme="1"/>
      <name val="Calibri"/>
      <family val="2"/>
      <scheme val="minor"/>
    </font>
    <font>
      <b/>
      <sz val="14"/>
      <color rgb="FFFF0000"/>
      <name val="Calibri"/>
      <family val="2"/>
      <scheme val="minor"/>
    </font>
    <font>
      <b/>
      <sz val="14"/>
      <color theme="1"/>
      <name val="Calibri"/>
      <family val="2"/>
      <scheme val="minor"/>
    </font>
    <font>
      <i/>
      <sz val="11"/>
      <color theme="1"/>
      <name val="Calibri"/>
      <family val="2"/>
      <scheme val="minor"/>
    </font>
    <font>
      <b/>
      <sz val="10"/>
      <name val="Symbol"/>
      <family val="1"/>
      <charset val="2"/>
    </font>
    <font>
      <b/>
      <sz val="10"/>
      <color indexed="10"/>
      <name val="Arial"/>
      <family val="2"/>
    </font>
    <font>
      <b/>
      <i/>
      <sz val="10"/>
      <name val="Arial"/>
      <family val="2"/>
    </font>
    <font>
      <b/>
      <sz val="22"/>
      <color indexed="10"/>
      <name val="Arial"/>
      <family val="2"/>
    </font>
    <font>
      <b/>
      <sz val="10"/>
      <color indexed="57"/>
      <name val="Arial"/>
      <family val="2"/>
    </font>
    <font>
      <sz val="8"/>
      <name val="Arial"/>
      <family val="2"/>
    </font>
    <font>
      <u/>
      <sz val="10"/>
      <color indexed="12"/>
      <name val="Arial"/>
      <family val="2"/>
    </font>
  </fonts>
  <fills count="6">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42"/>
        <bgColor indexed="64"/>
      </patternFill>
    </fill>
    <fill>
      <patternFill patternType="solid">
        <fgColor rgb="FF92D050"/>
        <bgColor indexed="64"/>
      </patternFill>
    </fill>
  </fills>
  <borders count="41">
    <border>
      <left/>
      <right/>
      <top/>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hair">
        <color indexed="64"/>
      </left>
      <right style="hair">
        <color indexed="64"/>
      </right>
      <top/>
      <bottom style="medium">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s>
  <cellStyleXfs count="38">
    <xf numFmtId="0" fontId="0" fillId="0" borderId="0"/>
    <xf numFmtId="0" fontId="2"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203">
    <xf numFmtId="0" fontId="0" fillId="0" borderId="0" xfId="0"/>
    <xf numFmtId="0" fontId="0" fillId="0" borderId="0" xfId="0" applyAlignment="1">
      <alignment horizontal="center"/>
    </xf>
    <xf numFmtId="0" fontId="2" fillId="0" borderId="0" xfId="1" applyAlignment="1">
      <alignment horizontal="center"/>
    </xf>
    <xf numFmtId="0" fontId="2" fillId="0" borderId="0" xfId="1"/>
    <xf numFmtId="164" fontId="2" fillId="0" borderId="0" xfId="1" applyNumberFormat="1" applyAlignment="1">
      <alignment horizontal="center"/>
    </xf>
    <xf numFmtId="1" fontId="2" fillId="0" borderId="0" xfId="1" applyNumberFormat="1" applyAlignment="1">
      <alignment horizontal="center"/>
    </xf>
    <xf numFmtId="0" fontId="4" fillId="0" borderId="0" xfId="0" applyFont="1" applyAlignment="1">
      <alignment horizontal="center"/>
    </xf>
    <xf numFmtId="0" fontId="4" fillId="0" borderId="0" xfId="0" applyFont="1" applyAlignment="1">
      <alignment horizontal="right"/>
    </xf>
    <xf numFmtId="0" fontId="6" fillId="0" borderId="0" xfId="0" applyFont="1"/>
    <xf numFmtId="0" fontId="0" fillId="0" borderId="13" xfId="0" applyBorder="1" applyAlignment="1">
      <alignment horizontal="center"/>
    </xf>
    <xf numFmtId="0" fontId="0" fillId="0" borderId="14" xfId="0" applyBorder="1" applyAlignment="1">
      <alignment horizontal="center"/>
    </xf>
    <xf numFmtId="2" fontId="0" fillId="0" borderId="0" xfId="0" applyNumberFormat="1" applyBorder="1" applyAlignment="1">
      <alignment horizontal="center"/>
    </xf>
    <xf numFmtId="2" fontId="0" fillId="0" borderId="16" xfId="0" applyNumberFormat="1" applyBorder="1" applyAlignment="1">
      <alignment horizontal="center"/>
    </xf>
    <xf numFmtId="2" fontId="0" fillId="0" borderId="18" xfId="0" applyNumberFormat="1" applyBorder="1" applyAlignment="1">
      <alignment horizontal="center"/>
    </xf>
    <xf numFmtId="2" fontId="0" fillId="0" borderId="19" xfId="0" applyNumberFormat="1" applyBorder="1" applyAlignment="1">
      <alignment horizontal="center"/>
    </xf>
    <xf numFmtId="0" fontId="0" fillId="0" borderId="10"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0" fontId="0" fillId="0" borderId="9" xfId="0" applyBorder="1" applyAlignment="1">
      <alignment horizontal="center"/>
    </xf>
    <xf numFmtId="1" fontId="0" fillId="0" borderId="12" xfId="0" applyNumberFormat="1" applyBorder="1" applyAlignment="1">
      <alignment horizontal="center"/>
    </xf>
    <xf numFmtId="1" fontId="0" fillId="0" borderId="13" xfId="0" applyNumberFormat="1" applyBorder="1" applyAlignment="1">
      <alignment horizontal="center"/>
    </xf>
    <xf numFmtId="1" fontId="0" fillId="0" borderId="14" xfId="0" applyNumberFormat="1" applyBorder="1" applyAlignment="1">
      <alignment horizontal="center"/>
    </xf>
    <xf numFmtId="1" fontId="0" fillId="0" borderId="15" xfId="0" applyNumberFormat="1" applyBorder="1" applyAlignment="1">
      <alignment horizontal="center"/>
    </xf>
    <xf numFmtId="1" fontId="0" fillId="0" borderId="0" xfId="0" applyNumberFormat="1" applyBorder="1" applyAlignment="1">
      <alignment horizontal="center"/>
    </xf>
    <xf numFmtId="1" fontId="0" fillId="0" borderId="16"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1" fontId="0" fillId="0" borderId="19" xfId="0" applyNumberFormat="1" applyBorder="1" applyAlignment="1">
      <alignment horizontal="center"/>
    </xf>
    <xf numFmtId="0" fontId="8" fillId="0" borderId="7" xfId="0" applyFont="1" applyBorder="1" applyAlignment="1">
      <alignment horizontal="center"/>
    </xf>
    <xf numFmtId="0" fontId="3" fillId="0" borderId="0" xfId="1" applyFont="1" applyAlignment="1">
      <alignment horizontal="center"/>
    </xf>
    <xf numFmtId="0" fontId="3" fillId="0" borderId="0" xfId="1" applyFont="1"/>
    <xf numFmtId="164" fontId="2" fillId="0" borderId="0" xfId="1" applyNumberFormat="1"/>
    <xf numFmtId="0" fontId="2" fillId="0" borderId="0" xfId="1" applyAlignment="1"/>
    <xf numFmtId="0" fontId="12" fillId="0" borderId="7" xfId="1" applyFont="1" applyBorder="1" applyAlignment="1">
      <alignment horizontal="center"/>
    </xf>
    <xf numFmtId="0" fontId="3" fillId="2" borderId="9" xfId="1" applyFont="1" applyFill="1" applyBorder="1" applyAlignment="1">
      <alignment horizontal="center"/>
    </xf>
    <xf numFmtId="0" fontId="3" fillId="0" borderId="7" xfId="1" applyFont="1" applyBorder="1" applyAlignment="1">
      <alignment horizontal="center"/>
    </xf>
    <xf numFmtId="0" fontId="12" fillId="0" borderId="10" xfId="1" applyFont="1" applyBorder="1" applyAlignment="1">
      <alignment horizontal="center"/>
    </xf>
    <xf numFmtId="0" fontId="12" fillId="0" borderId="22" xfId="1" applyFont="1" applyBorder="1" applyAlignment="1">
      <alignment horizontal="center"/>
    </xf>
    <xf numFmtId="166" fontId="2" fillId="0" borderId="2" xfId="1" applyNumberFormat="1" applyBorder="1" applyAlignment="1">
      <alignment horizontal="center"/>
    </xf>
    <xf numFmtId="166" fontId="2" fillId="0" borderId="3" xfId="1" applyNumberFormat="1" applyBorder="1" applyAlignment="1">
      <alignment horizontal="center"/>
    </xf>
    <xf numFmtId="166" fontId="12" fillId="0" borderId="3" xfId="1" applyNumberFormat="1" applyFont="1" applyBorder="1" applyAlignment="1">
      <alignment horizontal="center"/>
    </xf>
    <xf numFmtId="166" fontId="2" fillId="0" borderId="23" xfId="1" applyNumberFormat="1" applyBorder="1" applyAlignment="1">
      <alignment horizontal="center"/>
    </xf>
    <xf numFmtId="166" fontId="2" fillId="0" borderId="6" xfId="1" applyNumberFormat="1" applyBorder="1" applyAlignment="1">
      <alignment horizontal="center"/>
    </xf>
    <xf numFmtId="166" fontId="2" fillId="0" borderId="1" xfId="1" applyNumberFormat="1" applyBorder="1" applyAlignment="1">
      <alignment horizontal="center"/>
    </xf>
    <xf numFmtId="166" fontId="12" fillId="0" borderId="1" xfId="1" applyNumberFormat="1" applyFont="1" applyBorder="1" applyAlignment="1">
      <alignment horizontal="center"/>
    </xf>
    <xf numFmtId="166" fontId="2" fillId="0" borderId="24" xfId="1" applyNumberFormat="1" applyBorder="1" applyAlignment="1">
      <alignment horizontal="center"/>
    </xf>
    <xf numFmtId="0" fontId="12" fillId="0" borderId="25" xfId="1" applyFont="1" applyBorder="1" applyAlignment="1">
      <alignment horizontal="center"/>
    </xf>
    <xf numFmtId="166" fontId="2" fillId="0" borderId="4" xfId="1" applyNumberFormat="1" applyBorder="1" applyAlignment="1">
      <alignment horizontal="center"/>
    </xf>
    <xf numFmtId="166" fontId="2" fillId="0" borderId="5" xfId="1" applyNumberFormat="1" applyBorder="1" applyAlignment="1">
      <alignment horizontal="center"/>
    </xf>
    <xf numFmtId="166" fontId="12" fillId="0" borderId="5" xfId="1" applyNumberFormat="1" applyFont="1" applyBorder="1" applyAlignment="1">
      <alignment horizontal="center"/>
    </xf>
    <xf numFmtId="166" fontId="2" fillId="0" borderId="26" xfId="1" applyNumberFormat="1" applyBorder="1" applyAlignment="1">
      <alignment horizontal="center"/>
    </xf>
    <xf numFmtId="0" fontId="12" fillId="3" borderId="21" xfId="1" applyFont="1" applyFill="1" applyBorder="1" applyAlignment="1">
      <alignment horizontal="center"/>
    </xf>
    <xf numFmtId="0" fontId="12" fillId="3" borderId="19" xfId="1" applyFont="1" applyFill="1" applyBorder="1" applyAlignment="1">
      <alignment horizontal="center"/>
    </xf>
    <xf numFmtId="0" fontId="0" fillId="0" borderId="13" xfId="0" applyBorder="1"/>
    <xf numFmtId="0" fontId="0" fillId="0" borderId="14" xfId="0" applyBorder="1"/>
    <xf numFmtId="0" fontId="0" fillId="0" borderId="18" xfId="0" applyBorder="1"/>
    <xf numFmtId="0" fontId="0" fillId="0" borderId="19" xfId="0" applyBorder="1"/>
    <xf numFmtId="0" fontId="14" fillId="0" borderId="0" xfId="0" applyFont="1" applyBorder="1" applyAlignment="1" applyProtection="1">
      <alignment horizontal="right" vertical="center"/>
    </xf>
    <xf numFmtId="0" fontId="0" fillId="0" borderId="0" xfId="0" applyAlignment="1">
      <alignment horizontal="right"/>
    </xf>
    <xf numFmtId="0" fontId="5"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8" xfId="0" applyFont="1" applyFill="1" applyBorder="1" applyAlignment="1" applyProtection="1">
      <alignment horizontal="center"/>
      <protection locked="0"/>
    </xf>
    <xf numFmtId="0" fontId="5" fillId="3" borderId="9"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4" fillId="3" borderId="15" xfId="0" applyFont="1"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2" fillId="0" borderId="27" xfId="1" applyBorder="1"/>
    <xf numFmtId="0" fontId="3" fillId="0" borderId="28" xfId="1" applyFont="1" applyBorder="1" applyAlignment="1">
      <alignment horizontal="center"/>
    </xf>
    <xf numFmtId="0" fontId="11" fillId="3" borderId="28" xfId="1" applyFont="1" applyFill="1" applyBorder="1" applyAlignment="1" applyProtection="1">
      <alignment horizontal="center"/>
      <protection locked="0"/>
    </xf>
    <xf numFmtId="0" fontId="2" fillId="0" borderId="29" xfId="1" applyBorder="1" applyAlignment="1">
      <alignment horizontal="center"/>
    </xf>
    <xf numFmtId="0" fontId="2" fillId="0" borderId="30" xfId="1" applyBorder="1"/>
    <xf numFmtId="0" fontId="3" fillId="0" borderId="1" xfId="1" applyFont="1" applyBorder="1" applyAlignment="1">
      <alignment horizontal="center"/>
    </xf>
    <xf numFmtId="0" fontId="11" fillId="3" borderId="1" xfId="1" applyFont="1" applyFill="1" applyBorder="1" applyAlignment="1" applyProtection="1">
      <alignment horizontal="center"/>
      <protection locked="0"/>
    </xf>
    <xf numFmtId="0" fontId="2" fillId="0" borderId="31" xfId="1" applyBorder="1" applyAlignment="1">
      <alignment horizontal="center"/>
    </xf>
    <xf numFmtId="0" fontId="10" fillId="0" borderId="1" xfId="1" applyFont="1" applyBorder="1" applyAlignment="1">
      <alignment horizontal="center"/>
    </xf>
    <xf numFmtId="1" fontId="2" fillId="0" borderId="1" xfId="1" applyNumberFormat="1" applyBorder="1" applyAlignment="1">
      <alignment horizontal="center"/>
    </xf>
    <xf numFmtId="2" fontId="2" fillId="0" borderId="1" xfId="1" applyNumberFormat="1" applyBorder="1" applyAlignment="1">
      <alignment horizontal="center"/>
    </xf>
    <xf numFmtId="164" fontId="2" fillId="0" borderId="1" xfId="1" applyNumberFormat="1" applyBorder="1" applyAlignment="1">
      <alignment horizontal="center"/>
    </xf>
    <xf numFmtId="0" fontId="3" fillId="0" borderId="32" xfId="1" applyFont="1" applyBorder="1"/>
    <xf numFmtId="0" fontId="3" fillId="0" borderId="33" xfId="1" applyFont="1" applyBorder="1" applyAlignment="1">
      <alignment horizontal="center"/>
    </xf>
    <xf numFmtId="1" fontId="3" fillId="0" borderId="33" xfId="1" applyNumberFormat="1" applyFont="1" applyBorder="1" applyAlignment="1">
      <alignment horizontal="center"/>
    </xf>
    <xf numFmtId="0" fontId="3" fillId="0" borderId="34" xfId="1" applyFont="1" applyBorder="1" applyAlignment="1">
      <alignment horizontal="center"/>
    </xf>
    <xf numFmtId="0" fontId="2" fillId="0" borderId="0" xfId="1" applyFont="1"/>
    <xf numFmtId="0" fontId="2" fillId="3" borderId="0" xfId="1" applyFill="1" applyAlignment="1" applyProtection="1">
      <alignment horizontal="center"/>
      <protection locked="0"/>
    </xf>
    <xf numFmtId="0" fontId="2" fillId="0" borderId="0" xfId="1" applyBorder="1"/>
    <xf numFmtId="0" fontId="2" fillId="0" borderId="19" xfId="1" applyBorder="1"/>
    <xf numFmtId="0" fontId="2" fillId="0" borderId="18" xfId="1" applyBorder="1" applyAlignment="1">
      <alignment horizontal="center"/>
    </xf>
    <xf numFmtId="0" fontId="2" fillId="0" borderId="18" xfId="1" applyBorder="1"/>
    <xf numFmtId="0" fontId="2" fillId="0" borderId="17" xfId="1" applyBorder="1"/>
    <xf numFmtId="0" fontId="2" fillId="0" borderId="16" xfId="1" applyBorder="1"/>
    <xf numFmtId="166" fontId="3" fillId="5" borderId="9" xfId="1" applyNumberFormat="1" applyFont="1" applyFill="1" applyBorder="1" applyAlignment="1">
      <alignment horizontal="center"/>
    </xf>
    <xf numFmtId="0" fontId="3" fillId="5" borderId="8" xfId="1" applyFont="1" applyFill="1" applyBorder="1" applyAlignment="1">
      <alignment horizontal="center"/>
    </xf>
    <xf numFmtId="0" fontId="3" fillId="5" borderId="7" xfId="1" applyFont="1" applyFill="1" applyBorder="1" applyAlignment="1">
      <alignment horizontal="center"/>
    </xf>
    <xf numFmtId="0" fontId="2" fillId="0" borderId="15" xfId="1" applyBorder="1"/>
    <xf numFmtId="0" fontId="2" fillId="0" borderId="0" xfId="1" applyBorder="1" applyAlignment="1">
      <alignment horizontal="center"/>
    </xf>
    <xf numFmtId="0" fontId="2" fillId="0" borderId="0" xfId="1" applyFont="1" applyBorder="1" applyAlignment="1">
      <alignment horizontal="center"/>
    </xf>
    <xf numFmtId="0" fontId="2" fillId="0" borderId="0" xfId="1" applyFont="1" applyFill="1" applyBorder="1" applyAlignment="1">
      <alignment horizontal="center"/>
    </xf>
    <xf numFmtId="1" fontId="3" fillId="3" borderId="0" xfId="1" applyNumberFormat="1" applyFont="1" applyFill="1" applyBorder="1" applyAlignment="1" applyProtection="1">
      <alignment horizontal="center"/>
      <protection locked="0"/>
    </xf>
    <xf numFmtId="0" fontId="3" fillId="0" borderId="0" xfId="1" applyFont="1" applyFill="1" applyBorder="1" applyAlignment="1">
      <alignment horizontal="center"/>
    </xf>
    <xf numFmtId="166" fontId="2" fillId="0" borderId="0" xfId="1" applyNumberFormat="1" applyFont="1" applyFill="1" applyBorder="1" applyAlignment="1">
      <alignment horizontal="center"/>
    </xf>
    <xf numFmtId="1" fontId="3" fillId="0" borderId="0" xfId="1" applyNumberFormat="1" applyFont="1" applyFill="1" applyBorder="1" applyAlignment="1">
      <alignment horizontal="center"/>
    </xf>
    <xf numFmtId="0" fontId="3" fillId="0" borderId="0" xfId="1" applyFont="1" applyBorder="1" applyAlignment="1">
      <alignment horizontal="center"/>
    </xf>
    <xf numFmtId="0" fontId="3" fillId="3" borderId="0" xfId="1" applyFont="1" applyFill="1" applyBorder="1" applyAlignment="1" applyProtection="1">
      <alignment horizontal="center"/>
      <protection locked="0"/>
    </xf>
    <xf numFmtId="0" fontId="2" fillId="0" borderId="14" xfId="1" applyBorder="1"/>
    <xf numFmtId="0" fontId="2" fillId="0" borderId="13" xfId="1" applyBorder="1" applyAlignment="1">
      <alignment horizontal="center"/>
    </xf>
    <xf numFmtId="0" fontId="2" fillId="0" borderId="13" xfId="1" applyBorder="1"/>
    <xf numFmtId="0" fontId="2" fillId="0" borderId="12" xfId="1" applyBorder="1"/>
    <xf numFmtId="1" fontId="3" fillId="5" borderId="19" xfId="1" applyNumberFormat="1" applyFont="1" applyFill="1" applyBorder="1" applyAlignment="1">
      <alignment horizontal="center"/>
    </xf>
    <xf numFmtId="0" fontId="3" fillId="5" borderId="18" xfId="1" applyFont="1" applyFill="1" applyBorder="1" applyAlignment="1">
      <alignment horizontal="center"/>
    </xf>
    <xf numFmtId="0" fontId="3" fillId="5" borderId="17" xfId="1" applyFont="1" applyFill="1" applyBorder="1" applyAlignment="1">
      <alignment horizontal="center"/>
    </xf>
    <xf numFmtId="166" fontId="3" fillId="5" borderId="16" xfId="1" applyNumberFormat="1" applyFont="1" applyFill="1" applyBorder="1" applyAlignment="1">
      <alignment horizontal="center"/>
    </xf>
    <xf numFmtId="0" fontId="3" fillId="5" borderId="0" xfId="1" applyFont="1" applyFill="1" applyBorder="1" applyAlignment="1">
      <alignment horizontal="center"/>
    </xf>
    <xf numFmtId="0" fontId="3" fillId="5" borderId="15" xfId="1" applyFont="1" applyFill="1" applyBorder="1" applyAlignment="1">
      <alignment horizontal="center"/>
    </xf>
    <xf numFmtId="2" fontId="3" fillId="5" borderId="14" xfId="1" applyNumberFormat="1" applyFont="1" applyFill="1" applyBorder="1" applyAlignment="1">
      <alignment horizontal="center"/>
    </xf>
    <xf numFmtId="0" fontId="3" fillId="5" borderId="13" xfId="1" applyFont="1" applyFill="1" applyBorder="1" applyAlignment="1">
      <alignment horizontal="center"/>
    </xf>
    <xf numFmtId="0" fontId="3" fillId="5" borderId="12" xfId="1" applyFont="1" applyFill="1" applyBorder="1" applyAlignment="1">
      <alignment horizontal="center"/>
    </xf>
    <xf numFmtId="1" fontId="2" fillId="0" borderId="0" xfId="1" applyNumberFormat="1" applyFill="1" applyAlignment="1" applyProtection="1">
      <alignment horizontal="center"/>
    </xf>
    <xf numFmtId="0" fontId="2" fillId="0" borderId="0" xfId="1" applyFont="1" applyBorder="1"/>
    <xf numFmtId="0" fontId="2" fillId="0" borderId="16" xfId="1" applyFont="1" applyBorder="1"/>
    <xf numFmtId="0" fontId="2" fillId="0" borderId="14" xfId="1" applyBorder="1" applyAlignment="1">
      <alignment horizontal="center"/>
    </xf>
    <xf numFmtId="0" fontId="16" fillId="0" borderId="0" xfId="36" applyAlignment="1" applyProtection="1"/>
    <xf numFmtId="0" fontId="15" fillId="0" borderId="0" xfId="1" applyFont="1" applyBorder="1" applyAlignment="1" applyProtection="1">
      <alignment horizontal="right" vertical="top"/>
    </xf>
    <xf numFmtId="0" fontId="5" fillId="3" borderId="20" xfId="0" applyFont="1" applyFill="1" applyBorder="1" applyAlignment="1" applyProtection="1">
      <alignment horizontal="center"/>
      <protection locked="0"/>
    </xf>
    <xf numFmtId="0" fontId="0" fillId="0" borderId="12" xfId="0" applyBorder="1" applyAlignment="1">
      <alignment horizontal="center"/>
    </xf>
    <xf numFmtId="2" fontId="0" fillId="0" borderId="15" xfId="0" applyNumberFormat="1" applyBorder="1" applyAlignment="1">
      <alignment horizontal="center"/>
    </xf>
    <xf numFmtId="2" fontId="0" fillId="0" borderId="17" xfId="0" applyNumberFormat="1" applyBorder="1" applyAlignment="1">
      <alignment horizontal="center"/>
    </xf>
    <xf numFmtId="2" fontId="0" fillId="0" borderId="0" xfId="0" applyNumberFormat="1" applyAlignment="1">
      <alignment horizontal="center"/>
    </xf>
    <xf numFmtId="166" fontId="0" fillId="0" borderId="0" xfId="0" applyNumberFormat="1"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0" fontId="4" fillId="3" borderId="0" xfId="0" applyFont="1" applyFill="1" applyAlignment="1">
      <alignment horizontal="center"/>
    </xf>
    <xf numFmtId="0" fontId="0" fillId="0" borderId="12" xfId="0" applyBorder="1" applyAlignment="1">
      <alignment horizontal="right"/>
    </xf>
    <xf numFmtId="0" fontId="4" fillId="3" borderId="14" xfId="0" applyFont="1" applyFill="1" applyBorder="1" applyAlignment="1">
      <alignment horizontal="center"/>
    </xf>
    <xf numFmtId="0" fontId="0" fillId="0" borderId="15" xfId="0" applyBorder="1" applyAlignment="1">
      <alignment horizontal="right"/>
    </xf>
    <xf numFmtId="0" fontId="0" fillId="0" borderId="0" xfId="0" applyBorder="1" applyAlignment="1">
      <alignment horizontal="center"/>
    </xf>
    <xf numFmtId="166" fontId="0" fillId="0" borderId="16" xfId="0" applyNumberFormat="1" applyBorder="1" applyAlignment="1">
      <alignment horizontal="center"/>
    </xf>
    <xf numFmtId="0" fontId="0" fillId="0" borderId="15" xfId="0" applyBorder="1"/>
    <xf numFmtId="0" fontId="0" fillId="0" borderId="16" xfId="0" applyBorder="1" applyAlignment="1">
      <alignment horizontal="center"/>
    </xf>
    <xf numFmtId="0" fontId="4" fillId="3" borderId="16" xfId="0" applyFont="1" applyFill="1" applyBorder="1" applyAlignment="1">
      <alignment horizontal="center"/>
    </xf>
    <xf numFmtId="0" fontId="0" fillId="0" borderId="17" xfId="0" applyBorder="1"/>
    <xf numFmtId="0" fontId="4" fillId="0" borderId="7" xfId="0" applyFont="1" applyBorder="1" applyAlignment="1">
      <alignment horizontal="right"/>
    </xf>
    <xf numFmtId="0" fontId="4" fillId="0" borderId="8" xfId="0" applyFont="1" applyBorder="1" applyAlignment="1">
      <alignment horizontal="center"/>
    </xf>
    <xf numFmtId="2" fontId="4" fillId="0" borderId="9" xfId="0" applyNumberFormat="1" applyFont="1" applyBorder="1" applyAlignment="1">
      <alignment horizontal="center"/>
    </xf>
    <xf numFmtId="10" fontId="0" fillId="0" borderId="0" xfId="37" applyNumberFormat="1" applyFont="1" applyAlignment="1">
      <alignment horizontal="center"/>
    </xf>
    <xf numFmtId="0" fontId="0" fillId="0" borderId="28" xfId="0" applyBorder="1" applyAlignment="1">
      <alignment horizontal="center"/>
    </xf>
    <xf numFmtId="0" fontId="4" fillId="3" borderId="28" xfId="0" applyFont="1" applyFill="1" applyBorder="1" applyAlignment="1">
      <alignment horizontal="center"/>
    </xf>
    <xf numFmtId="0" fontId="0" fillId="0" borderId="29" xfId="0" applyBorder="1" applyAlignment="1">
      <alignment horizontal="center"/>
    </xf>
    <xf numFmtId="0" fontId="0" fillId="0" borderId="1" xfId="0" applyBorder="1" applyAlignment="1">
      <alignment horizontal="center"/>
    </xf>
    <xf numFmtId="0" fontId="4" fillId="3" borderId="1" xfId="0" applyFont="1" applyFill="1" applyBorder="1" applyAlignment="1">
      <alignment horizontal="center"/>
    </xf>
    <xf numFmtId="0" fontId="0" fillId="0" borderId="31" xfId="0" applyBorder="1" applyAlignment="1">
      <alignment horizontal="center"/>
    </xf>
    <xf numFmtId="0" fontId="0" fillId="0" borderId="36" xfId="0" applyBorder="1" applyAlignment="1">
      <alignment horizontal="center"/>
    </xf>
    <xf numFmtId="1" fontId="0" fillId="0" borderId="36" xfId="0" applyNumberFormat="1" applyBorder="1" applyAlignment="1">
      <alignment horizontal="center"/>
    </xf>
    <xf numFmtId="0" fontId="0" fillId="0" borderId="37" xfId="0" applyBorder="1" applyAlignment="1">
      <alignment horizontal="center"/>
    </xf>
    <xf numFmtId="0" fontId="0" fillId="3" borderId="39" xfId="0" applyFill="1" applyBorder="1" applyAlignment="1">
      <alignment horizontal="center"/>
    </xf>
    <xf numFmtId="2" fontId="4" fillId="3" borderId="39" xfId="0" applyNumberFormat="1" applyFont="1" applyFill="1" applyBorder="1" applyAlignment="1">
      <alignment horizontal="center"/>
    </xf>
    <xf numFmtId="0" fontId="0" fillId="3" borderId="40" xfId="0" applyFill="1" applyBorder="1" applyAlignment="1">
      <alignment horizontal="center"/>
    </xf>
    <xf numFmtId="0" fontId="14" fillId="0" borderId="13" xfId="0" applyFont="1" applyBorder="1" applyAlignment="1" applyProtection="1">
      <alignment horizontal="left" vertical="center"/>
    </xf>
    <xf numFmtId="0" fontId="14" fillId="0" borderId="18" xfId="0" applyFont="1" applyBorder="1" applyAlignment="1" applyProtection="1">
      <alignment horizontal="left" vertical="center"/>
    </xf>
    <xf numFmtId="0" fontId="13" fillId="4" borderId="12" xfId="0" applyFont="1" applyFill="1" applyBorder="1" applyAlignment="1" applyProtection="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4" fillId="0" borderId="13" xfId="0" applyFont="1" applyBorder="1" applyAlignment="1" applyProtection="1">
      <alignment horizontal="left" vertical="center"/>
    </xf>
    <xf numFmtId="0" fontId="14" fillId="0" borderId="18" xfId="0" applyFont="1" applyBorder="1" applyAlignment="1" applyProtection="1">
      <alignment horizontal="left"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10" fillId="0" borderId="12" xfId="1" applyFont="1" applyBorder="1" applyAlignment="1">
      <alignment horizontal="center"/>
    </xf>
    <xf numFmtId="0" fontId="10" fillId="0" borderId="13" xfId="1" applyFont="1" applyBorder="1" applyAlignment="1">
      <alignment horizontal="center"/>
    </xf>
    <xf numFmtId="0" fontId="10" fillId="0" borderId="14" xfId="1" applyFont="1" applyBorder="1" applyAlignment="1">
      <alignment horizontal="center"/>
    </xf>
    <xf numFmtId="0" fontId="3" fillId="0" borderId="18" xfId="1" applyFont="1" applyBorder="1" applyAlignment="1">
      <alignment horizontal="center"/>
    </xf>
    <xf numFmtId="0" fontId="13" fillId="4" borderId="12" xfId="1" applyFont="1" applyFill="1" applyBorder="1" applyAlignment="1" applyProtection="1">
      <alignment horizontal="center" vertical="center"/>
    </xf>
    <xf numFmtId="0" fontId="0" fillId="0" borderId="38" xfId="0"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1"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5" fillId="0" borderId="0" xfId="0" applyNumberFormat="1" applyFont="1" applyAlignment="1">
      <alignment horizontal="left" vertical="top"/>
    </xf>
    <xf numFmtId="0" fontId="15" fillId="0" borderId="0" xfId="0" applyFont="1" applyAlignment="1">
      <alignment horizontal="left" vertical="top"/>
    </xf>
    <xf numFmtId="0" fontId="15" fillId="0" borderId="0" xfId="0" applyFont="1" applyBorder="1" applyAlignment="1" applyProtection="1">
      <alignment vertical="top"/>
    </xf>
    <xf numFmtId="0" fontId="13" fillId="4" borderId="13" xfId="1" applyFont="1" applyFill="1" applyBorder="1" applyAlignment="1" applyProtection="1">
      <alignment horizontal="center" vertical="center"/>
    </xf>
    <xf numFmtId="0" fontId="13" fillId="4" borderId="17" xfId="1" applyFont="1" applyFill="1" applyBorder="1" applyAlignment="1" applyProtection="1">
      <alignment horizontal="center" vertical="center"/>
    </xf>
    <xf numFmtId="0" fontId="13" fillId="4" borderId="18" xfId="1" applyFont="1" applyFill="1" applyBorder="1" applyAlignment="1" applyProtection="1">
      <alignment horizontal="center" vertical="center"/>
    </xf>
    <xf numFmtId="0" fontId="0" fillId="0" borderId="13" xfId="0" applyBorder="1" applyAlignment="1" applyProtection="1">
      <alignment horizontal="center" vertical="center"/>
    </xf>
    <xf numFmtId="0" fontId="0" fillId="0" borderId="13" xfId="0" applyBorder="1" applyAlignment="1" applyProtection="1">
      <alignment horizontal="center"/>
    </xf>
    <xf numFmtId="0" fontId="0" fillId="0" borderId="13" xfId="0" applyBorder="1" applyProtection="1"/>
    <xf numFmtId="0" fontId="0" fillId="0" borderId="14" xfId="0" applyBorder="1" applyProtection="1"/>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8" xfId="0" applyBorder="1" applyAlignment="1" applyProtection="1">
      <alignment horizontal="center"/>
    </xf>
    <xf numFmtId="0" fontId="0" fillId="0" borderId="18" xfId="0" applyBorder="1" applyProtection="1"/>
    <xf numFmtId="0" fontId="0" fillId="0" borderId="19" xfId="0" applyBorder="1" applyProtection="1"/>
    <xf numFmtId="0" fontId="0" fillId="0" borderId="0" xfId="0" applyProtection="1"/>
    <xf numFmtId="0" fontId="0" fillId="0" borderId="0" xfId="0" applyAlignment="1" applyProtection="1">
      <alignment horizontal="center"/>
    </xf>
  </cellXfs>
  <cellStyles count="38">
    <cellStyle name="Collegamento ipertestuale" xfId="36" builtinId="8"/>
    <cellStyle name="Euro" xfId="2" xr:uid="{00000000-0005-0000-0000-000001000000}"/>
    <cellStyle name="Normale" xfId="0" builtinId="0"/>
    <cellStyle name="Normale 10" xfId="3" xr:uid="{00000000-0005-0000-0000-000003000000}"/>
    <cellStyle name="Normale 10 2" xfId="4" xr:uid="{00000000-0005-0000-0000-000004000000}"/>
    <cellStyle name="Normale 10 2 2" xfId="5" xr:uid="{00000000-0005-0000-0000-000005000000}"/>
    <cellStyle name="Normale 11" xfId="6" xr:uid="{00000000-0005-0000-0000-000006000000}"/>
    <cellStyle name="Normale 11 2" xfId="7" xr:uid="{00000000-0005-0000-0000-000007000000}"/>
    <cellStyle name="Normale 12" xfId="8" xr:uid="{00000000-0005-0000-0000-000008000000}"/>
    <cellStyle name="Normale 13" xfId="9" xr:uid="{00000000-0005-0000-0000-000009000000}"/>
    <cellStyle name="Normale 14" xfId="10" xr:uid="{00000000-0005-0000-0000-00000A000000}"/>
    <cellStyle name="Normale 15" xfId="11" xr:uid="{00000000-0005-0000-0000-00000B000000}"/>
    <cellStyle name="Normale 15 2" xfId="12" xr:uid="{00000000-0005-0000-0000-00000C000000}"/>
    <cellStyle name="Normale 16" xfId="13" xr:uid="{00000000-0005-0000-0000-00000D000000}"/>
    <cellStyle name="Normale 17" xfId="14" xr:uid="{00000000-0005-0000-0000-00000E000000}"/>
    <cellStyle name="Normale 18" xfId="15" xr:uid="{00000000-0005-0000-0000-00000F000000}"/>
    <cellStyle name="Normale 19" xfId="16" xr:uid="{00000000-0005-0000-0000-000010000000}"/>
    <cellStyle name="Normale 2" xfId="1" xr:uid="{00000000-0005-0000-0000-000011000000}"/>
    <cellStyle name="Normale 20" xfId="17" xr:uid="{00000000-0005-0000-0000-000012000000}"/>
    <cellStyle name="Normale 21" xfId="18" xr:uid="{00000000-0005-0000-0000-000013000000}"/>
    <cellStyle name="Normale 22" xfId="19" xr:uid="{00000000-0005-0000-0000-000014000000}"/>
    <cellStyle name="Normale 23" xfId="20" xr:uid="{00000000-0005-0000-0000-000015000000}"/>
    <cellStyle name="Normale 24" xfId="21" xr:uid="{00000000-0005-0000-0000-000016000000}"/>
    <cellStyle name="Normale 25" xfId="22" xr:uid="{00000000-0005-0000-0000-000017000000}"/>
    <cellStyle name="Normale 26" xfId="23" xr:uid="{00000000-0005-0000-0000-000018000000}"/>
    <cellStyle name="Normale 27" xfId="24" xr:uid="{00000000-0005-0000-0000-000019000000}"/>
    <cellStyle name="Normale 28" xfId="25" xr:uid="{00000000-0005-0000-0000-00001A000000}"/>
    <cellStyle name="Normale 29" xfId="26" xr:uid="{00000000-0005-0000-0000-00001B000000}"/>
    <cellStyle name="Normale 3" xfId="27" xr:uid="{00000000-0005-0000-0000-00001C000000}"/>
    <cellStyle name="Normale 30" xfId="28" xr:uid="{00000000-0005-0000-0000-00001D000000}"/>
    <cellStyle name="Normale 4" xfId="29" xr:uid="{00000000-0005-0000-0000-00001E000000}"/>
    <cellStyle name="Normale 5" xfId="30" xr:uid="{00000000-0005-0000-0000-00001F000000}"/>
    <cellStyle name="Normale 6" xfId="31" xr:uid="{00000000-0005-0000-0000-000020000000}"/>
    <cellStyle name="Normale 7" xfId="32" xr:uid="{00000000-0005-0000-0000-000021000000}"/>
    <cellStyle name="Normale 8" xfId="33" xr:uid="{00000000-0005-0000-0000-000022000000}"/>
    <cellStyle name="Normale 9" xfId="34" xr:uid="{00000000-0005-0000-0000-000023000000}"/>
    <cellStyle name="Percentuale" xfId="37" builtinId="5"/>
    <cellStyle name="Percentuale 2" xfId="35"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CAVIX!$C$14</c:f>
              <c:strCache>
                <c:ptCount val="1"/>
                <c:pt idx="0">
                  <c:v>A3</c:v>
                </c:pt>
              </c:strCache>
            </c:strRef>
          </c:tx>
          <c:spPr>
            <a:ln>
              <a:solidFill>
                <a:srgbClr val="002060"/>
              </a:solidFill>
            </a:ln>
          </c:spPr>
          <c:marker>
            <c:symbol val="none"/>
          </c:marker>
          <c:xVal>
            <c:numRef>
              <c:f>CAVIX!$C$15:$C$39</c:f>
              <c:numCache>
                <c:formatCode>0.00</c:formatCode>
                <c:ptCount val="25"/>
                <c:pt idx="0">
                  <c:v>0</c:v>
                </c:pt>
                <c:pt idx="1">
                  <c:v>2.5000000000000001E-3</c:v>
                </c:pt>
                <c:pt idx="2">
                  <c:v>5.0000000000000001E-3</c:v>
                </c:pt>
                <c:pt idx="3">
                  <c:v>7.4999999999999997E-3</c:v>
                </c:pt>
                <c:pt idx="4">
                  <c:v>0.01</c:v>
                </c:pt>
                <c:pt idx="5">
                  <c:v>1.2500000000000001E-2</c:v>
                </c:pt>
                <c:pt idx="6">
                  <c:v>1.4999999999999999E-2</c:v>
                </c:pt>
                <c:pt idx="7">
                  <c:v>1.7500000000000002E-2</c:v>
                </c:pt>
                <c:pt idx="8">
                  <c:v>0.02</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CAVIX!$B$15:$B$39</c:f>
              <c:numCache>
                <c:formatCode>General</c:formatCode>
                <c:ptCount val="25"/>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6</c:v>
                </c:pt>
                <c:pt idx="22">
                  <c:v>7</c:v>
                </c:pt>
                <c:pt idx="23">
                  <c:v>8</c:v>
                </c:pt>
                <c:pt idx="24">
                  <c:v>9</c:v>
                </c:pt>
              </c:numCache>
            </c:numRef>
          </c:yVal>
          <c:smooth val="1"/>
          <c:extLst>
            <c:ext xmlns:c16="http://schemas.microsoft.com/office/drawing/2014/chart" uri="{C3380CC4-5D6E-409C-BE32-E72D297353CC}">
              <c16:uniqueId val="{00000000-C466-41F7-8A30-35724DBB08E7}"/>
            </c:ext>
          </c:extLst>
        </c:ser>
        <c:ser>
          <c:idx val="1"/>
          <c:order val="1"/>
          <c:tx>
            <c:strRef>
              <c:f>CAVIX!$D$14</c:f>
              <c:strCache>
                <c:ptCount val="1"/>
                <c:pt idx="0">
                  <c:v>A5</c:v>
                </c:pt>
              </c:strCache>
            </c:strRef>
          </c:tx>
          <c:spPr>
            <a:ln>
              <a:solidFill>
                <a:srgbClr val="C00000"/>
              </a:solidFill>
            </a:ln>
          </c:spPr>
          <c:marker>
            <c:symbol val="none"/>
          </c:marker>
          <c:xVal>
            <c:numRef>
              <c:f>CAVIX!$D$15:$D$39</c:f>
              <c:numCache>
                <c:formatCode>0.00</c:formatCode>
                <c:ptCount val="25"/>
                <c:pt idx="0">
                  <c:v>0</c:v>
                </c:pt>
                <c:pt idx="1">
                  <c:v>6.2500000000000003E-3</c:v>
                </c:pt>
                <c:pt idx="2">
                  <c:v>1.2500000000000001E-2</c:v>
                </c:pt>
                <c:pt idx="3">
                  <c:v>1.8750000000000003E-2</c:v>
                </c:pt>
                <c:pt idx="4">
                  <c:v>2.5000000000000001E-2</c:v>
                </c:pt>
                <c:pt idx="5">
                  <c:v>3.125E-2</c:v>
                </c:pt>
                <c:pt idx="6">
                  <c:v>3.7500000000000006E-2</c:v>
                </c:pt>
                <c:pt idx="7">
                  <c:v>4.3750000000000004E-2</c:v>
                </c:pt>
                <c:pt idx="8">
                  <c:v>0.05</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CAVIX!$B$15:$B$39</c:f>
              <c:numCache>
                <c:formatCode>General</c:formatCode>
                <c:ptCount val="25"/>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6</c:v>
                </c:pt>
                <c:pt idx="22">
                  <c:v>7</c:v>
                </c:pt>
                <c:pt idx="23">
                  <c:v>8</c:v>
                </c:pt>
                <c:pt idx="24">
                  <c:v>9</c:v>
                </c:pt>
              </c:numCache>
            </c:numRef>
          </c:yVal>
          <c:smooth val="1"/>
          <c:extLst>
            <c:ext xmlns:c16="http://schemas.microsoft.com/office/drawing/2014/chart" uri="{C3380CC4-5D6E-409C-BE32-E72D297353CC}">
              <c16:uniqueId val="{00000001-C466-41F7-8A30-35724DBB08E7}"/>
            </c:ext>
          </c:extLst>
        </c:ser>
        <c:ser>
          <c:idx val="2"/>
          <c:order val="2"/>
          <c:tx>
            <c:strRef>
              <c:f>CAVIX!$E$14</c:f>
              <c:strCache>
                <c:ptCount val="1"/>
                <c:pt idx="0">
                  <c:v>A10</c:v>
                </c:pt>
              </c:strCache>
            </c:strRef>
          </c:tx>
          <c:spPr>
            <a:ln>
              <a:solidFill>
                <a:srgbClr val="00B050"/>
              </a:solidFill>
            </a:ln>
          </c:spPr>
          <c:marker>
            <c:symbol val="none"/>
          </c:marker>
          <c:xVal>
            <c:numRef>
              <c:f>CAVIX!$E$15:$E$39</c:f>
              <c:numCache>
                <c:formatCode>0.00</c:formatCode>
                <c:ptCount val="25"/>
                <c:pt idx="0">
                  <c:v>0</c:v>
                </c:pt>
                <c:pt idx="1">
                  <c:v>1.2500000000000001E-2</c:v>
                </c:pt>
                <c:pt idx="2">
                  <c:v>2.5000000000000001E-2</c:v>
                </c:pt>
                <c:pt idx="3">
                  <c:v>3.7500000000000006E-2</c:v>
                </c:pt>
                <c:pt idx="4">
                  <c:v>0.05</c:v>
                </c:pt>
                <c:pt idx="5">
                  <c:v>6.25E-2</c:v>
                </c:pt>
                <c:pt idx="6">
                  <c:v>7.5000000000000011E-2</c:v>
                </c:pt>
                <c:pt idx="7">
                  <c:v>8.7500000000000008E-2</c:v>
                </c:pt>
                <c:pt idx="8">
                  <c:v>0.1</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CAVIX!$B$15:$B$39</c:f>
              <c:numCache>
                <c:formatCode>General</c:formatCode>
                <c:ptCount val="25"/>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6</c:v>
                </c:pt>
                <c:pt idx="22">
                  <c:v>7</c:v>
                </c:pt>
                <c:pt idx="23">
                  <c:v>8</c:v>
                </c:pt>
                <c:pt idx="24">
                  <c:v>9</c:v>
                </c:pt>
              </c:numCache>
            </c:numRef>
          </c:yVal>
          <c:smooth val="1"/>
          <c:extLst>
            <c:ext xmlns:c16="http://schemas.microsoft.com/office/drawing/2014/chart" uri="{C3380CC4-5D6E-409C-BE32-E72D297353CC}">
              <c16:uniqueId val="{00000002-C466-41F7-8A30-35724DBB08E7}"/>
            </c:ext>
          </c:extLst>
        </c:ser>
        <c:ser>
          <c:idx val="3"/>
          <c:order val="3"/>
          <c:tx>
            <c:strRef>
              <c:f>CAVIX!$F$14</c:f>
              <c:strCache>
                <c:ptCount val="1"/>
                <c:pt idx="0">
                  <c:v>A20</c:v>
                </c:pt>
              </c:strCache>
            </c:strRef>
          </c:tx>
          <c:spPr>
            <a:ln>
              <a:solidFill>
                <a:srgbClr val="FF0000"/>
              </a:solidFill>
            </a:ln>
          </c:spPr>
          <c:marker>
            <c:symbol val="none"/>
          </c:marker>
          <c:xVal>
            <c:numRef>
              <c:f>CAVIX!$F$15:$F$39</c:f>
              <c:numCache>
                <c:formatCode>0.00</c:formatCode>
                <c:ptCount val="25"/>
                <c:pt idx="0">
                  <c:v>0</c:v>
                </c:pt>
                <c:pt idx="1">
                  <c:v>2.5000000000000001E-2</c:v>
                </c:pt>
                <c:pt idx="2">
                  <c:v>0.05</c:v>
                </c:pt>
                <c:pt idx="3">
                  <c:v>7.5000000000000011E-2</c:v>
                </c:pt>
                <c:pt idx="4">
                  <c:v>0.1</c:v>
                </c:pt>
                <c:pt idx="5">
                  <c:v>0.125</c:v>
                </c:pt>
                <c:pt idx="6">
                  <c:v>0.15000000000000002</c:v>
                </c:pt>
                <c:pt idx="7">
                  <c:v>0.17500000000000002</c:v>
                </c:pt>
                <c:pt idx="8">
                  <c:v>0.2</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CAVIX!$B$15:$B$39</c:f>
              <c:numCache>
                <c:formatCode>General</c:formatCode>
                <c:ptCount val="25"/>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6</c:v>
                </c:pt>
                <c:pt idx="22">
                  <c:v>7</c:v>
                </c:pt>
                <c:pt idx="23">
                  <c:v>8</c:v>
                </c:pt>
                <c:pt idx="24">
                  <c:v>9</c:v>
                </c:pt>
              </c:numCache>
            </c:numRef>
          </c:yVal>
          <c:smooth val="1"/>
          <c:extLst>
            <c:ext xmlns:c16="http://schemas.microsoft.com/office/drawing/2014/chart" uri="{C3380CC4-5D6E-409C-BE32-E72D297353CC}">
              <c16:uniqueId val="{00000003-C466-41F7-8A30-35724DBB08E7}"/>
            </c:ext>
          </c:extLst>
        </c:ser>
        <c:dLbls>
          <c:showLegendKey val="0"/>
          <c:showVal val="0"/>
          <c:showCatName val="0"/>
          <c:showSerName val="0"/>
          <c:showPercent val="0"/>
          <c:showBubbleSize val="0"/>
        </c:dLbls>
        <c:axId val="106889984"/>
        <c:axId val="106892288"/>
      </c:scatterChart>
      <c:valAx>
        <c:axId val="106889984"/>
        <c:scaling>
          <c:orientation val="minMax"/>
        </c:scaling>
        <c:delete val="0"/>
        <c:axPos val="b"/>
        <c:majorGridlines/>
        <c:title>
          <c:tx>
            <c:rich>
              <a:bodyPr/>
              <a:lstStyle/>
              <a:p>
                <a:pPr>
                  <a:defRPr/>
                </a:pPr>
                <a:r>
                  <a:rPr lang="it-IT"/>
                  <a:t>allungamento</a:t>
                </a:r>
                <a:r>
                  <a:rPr lang="it-IT" baseline="0"/>
                  <a:t> (m)</a:t>
                </a:r>
                <a:endParaRPr lang="it-IT"/>
              </a:p>
            </c:rich>
          </c:tx>
          <c:overlay val="0"/>
        </c:title>
        <c:numFmt formatCode="0.00" sourceLinked="1"/>
        <c:majorTickMark val="out"/>
        <c:minorTickMark val="none"/>
        <c:tickLblPos val="nextTo"/>
        <c:crossAx val="106892288"/>
        <c:crosses val="autoZero"/>
        <c:crossBetween val="midCat"/>
      </c:valAx>
      <c:valAx>
        <c:axId val="106892288"/>
        <c:scaling>
          <c:orientation val="minMax"/>
          <c:max val="8"/>
        </c:scaling>
        <c:delete val="0"/>
        <c:axPos val="l"/>
        <c:majorGridlines/>
        <c:title>
          <c:tx>
            <c:rich>
              <a:bodyPr rot="-5400000" vert="horz"/>
              <a:lstStyle/>
              <a:p>
                <a:pPr>
                  <a:defRPr/>
                </a:pPr>
                <a:r>
                  <a:rPr lang="it-IT"/>
                  <a:t>carico (t)</a:t>
                </a:r>
              </a:p>
            </c:rich>
          </c:tx>
          <c:overlay val="0"/>
        </c:title>
        <c:numFmt formatCode="General" sourceLinked="1"/>
        <c:majorTickMark val="out"/>
        <c:minorTickMark val="none"/>
        <c:tickLblPos val="nextTo"/>
        <c:crossAx val="106889984"/>
        <c:crosses val="autoZero"/>
        <c:crossBetween val="midCat"/>
      </c:valAx>
    </c:plotArea>
    <c:legend>
      <c:legendPos val="r"/>
      <c:overlay val="0"/>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CAVIX!$P$13</c:f>
              <c:strCache>
                <c:ptCount val="1"/>
                <c:pt idx="0">
                  <c:v>A15</c:v>
                </c:pt>
              </c:strCache>
            </c:strRef>
          </c:tx>
          <c:spPr>
            <a:ln>
              <a:solidFill>
                <a:srgbClr val="C0000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CAVIX!$P$14:$P$33</c:f>
              <c:numCache>
                <c:formatCode>0</c:formatCode>
                <c:ptCount val="20"/>
                <c:pt idx="0">
                  <c:v>3.7566876438015705E-3</c:v>
                </c:pt>
                <c:pt idx="1">
                  <c:v>3.0053501150412564E-2</c:v>
                </c:pt>
                <c:pt idx="2">
                  <c:v>0.10143056638264238</c:v>
                </c:pt>
                <c:pt idx="3">
                  <c:v>0.24042800920330051</c:v>
                </c:pt>
                <c:pt idx="4">
                  <c:v>0.46958595547519627</c:v>
                </c:pt>
                <c:pt idx="5">
                  <c:v>0.81144453106113901</c:v>
                </c:pt>
                <c:pt idx="6">
                  <c:v>1.2885438618239382</c:v>
                </c:pt>
                <c:pt idx="7">
                  <c:v>1.9234240736264041</c:v>
                </c:pt>
                <c:pt idx="8">
                  <c:v>2.7386252923313448</c:v>
                </c:pt>
                <c:pt idx="9">
                  <c:v>3.7566876438015702</c:v>
                </c:pt>
                <c:pt idx="10">
                  <c:v>5.0001512538998902</c:v>
                </c:pt>
                <c:pt idx="11">
                  <c:v>6.4915562484891121</c:v>
                </c:pt>
                <c:pt idx="12">
                  <c:v>8.2534427534320507</c:v>
                </c:pt>
                <c:pt idx="13">
                  <c:v>10.308350894591506</c:v>
                </c:pt>
                <c:pt idx="14">
                  <c:v>12.678820797830298</c:v>
                </c:pt>
                <c:pt idx="15">
                  <c:v>15.387392589011233</c:v>
                </c:pt>
                <c:pt idx="16">
                  <c:v>18.456606393997109</c:v>
                </c:pt>
                <c:pt idx="17">
                  <c:v>21.909002338650758</c:v>
                </c:pt>
                <c:pt idx="18">
                  <c:v>25.767120548834967</c:v>
                </c:pt>
                <c:pt idx="19">
                  <c:v>30.053501150412561</c:v>
                </c:pt>
              </c:numCache>
            </c:numRef>
          </c:yVal>
          <c:smooth val="1"/>
          <c:extLst>
            <c:ext xmlns:c16="http://schemas.microsoft.com/office/drawing/2014/chart" uri="{C3380CC4-5D6E-409C-BE32-E72D297353CC}">
              <c16:uniqueId val="{00000000-70A1-4671-8CAC-05BFD5F8F42A}"/>
            </c:ext>
          </c:extLst>
        </c:ser>
        <c:ser>
          <c:idx val="1"/>
          <c:order val="1"/>
          <c:tx>
            <c:strRef>
              <c:f>CAVIX!$Q$13</c:f>
              <c:strCache>
                <c:ptCount val="1"/>
                <c:pt idx="0">
                  <c:v>A20</c:v>
                </c:pt>
              </c:strCache>
            </c:strRef>
          </c:tx>
          <c:spPr>
            <a:ln>
              <a:solidFill>
                <a:srgbClr val="FF000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CAVIX!$Q$14:$Q$33</c:f>
              <c:numCache>
                <c:formatCode>0</c:formatCode>
                <c:ptCount val="20"/>
                <c:pt idx="0">
                  <c:v>5.0089168584020946E-3</c:v>
                </c:pt>
                <c:pt idx="1">
                  <c:v>4.0071334867216757E-2</c:v>
                </c:pt>
                <c:pt idx="2">
                  <c:v>0.13524075517685652</c:v>
                </c:pt>
                <c:pt idx="3">
                  <c:v>0.32057067893773405</c:v>
                </c:pt>
                <c:pt idx="4">
                  <c:v>0.62611460730026169</c:v>
                </c:pt>
                <c:pt idx="5">
                  <c:v>1.0819260414148522</c:v>
                </c:pt>
                <c:pt idx="6">
                  <c:v>1.7180584824319176</c:v>
                </c:pt>
                <c:pt idx="7">
                  <c:v>2.5645654315018724</c:v>
                </c:pt>
                <c:pt idx="8">
                  <c:v>3.6515003897751273</c:v>
                </c:pt>
                <c:pt idx="9">
                  <c:v>5.0089168584020936</c:v>
                </c:pt>
                <c:pt idx="10">
                  <c:v>6.6668683385331882</c:v>
                </c:pt>
                <c:pt idx="11">
                  <c:v>8.6554083313188173</c:v>
                </c:pt>
                <c:pt idx="12">
                  <c:v>11.004590337909402</c:v>
                </c:pt>
                <c:pt idx="13">
                  <c:v>13.744467859455341</c:v>
                </c:pt>
                <c:pt idx="14">
                  <c:v>16.905094397107067</c:v>
                </c:pt>
                <c:pt idx="15">
                  <c:v>20.51652345201498</c:v>
                </c:pt>
                <c:pt idx="16">
                  <c:v>24.608808525329483</c:v>
                </c:pt>
                <c:pt idx="17">
                  <c:v>29.212003118201018</c:v>
                </c:pt>
                <c:pt idx="18">
                  <c:v>34.356160731779951</c:v>
                </c:pt>
                <c:pt idx="19">
                  <c:v>40.071334867216748</c:v>
                </c:pt>
              </c:numCache>
            </c:numRef>
          </c:yVal>
          <c:smooth val="1"/>
          <c:extLst>
            <c:ext xmlns:c16="http://schemas.microsoft.com/office/drawing/2014/chart" uri="{C3380CC4-5D6E-409C-BE32-E72D297353CC}">
              <c16:uniqueId val="{00000001-70A1-4671-8CAC-05BFD5F8F42A}"/>
            </c:ext>
          </c:extLst>
        </c:ser>
        <c:ser>
          <c:idx val="2"/>
          <c:order val="2"/>
          <c:tx>
            <c:strRef>
              <c:f>CAVIX!$R$13</c:f>
              <c:strCache>
                <c:ptCount val="1"/>
                <c:pt idx="0">
                  <c:v>A25</c:v>
                </c:pt>
              </c:strCache>
            </c:strRef>
          </c:tx>
          <c:spPr>
            <a:ln>
              <a:solidFill>
                <a:srgbClr val="FFC00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CAVIX!$R$14:$R$33</c:f>
              <c:numCache>
                <c:formatCode>0</c:formatCode>
                <c:ptCount val="20"/>
                <c:pt idx="0">
                  <c:v>6.2611460730026183E-3</c:v>
                </c:pt>
                <c:pt idx="1">
                  <c:v>5.0089168584020946E-2</c:v>
                </c:pt>
                <c:pt idx="2">
                  <c:v>0.16905094397107068</c:v>
                </c:pt>
                <c:pt idx="3">
                  <c:v>0.40071334867216757</c:v>
                </c:pt>
                <c:pt idx="4">
                  <c:v>0.78264325912532706</c:v>
                </c:pt>
                <c:pt idx="5">
                  <c:v>1.3524075517685654</c:v>
                </c:pt>
                <c:pt idx="6">
                  <c:v>2.147573103039897</c:v>
                </c:pt>
                <c:pt idx="7">
                  <c:v>3.2057067893773405</c:v>
                </c:pt>
                <c:pt idx="8">
                  <c:v>4.564375487218908</c:v>
                </c:pt>
                <c:pt idx="9">
                  <c:v>6.2611460730026165</c:v>
                </c:pt>
                <c:pt idx="10">
                  <c:v>8.3335854231664879</c:v>
                </c:pt>
                <c:pt idx="11">
                  <c:v>10.819260414148523</c:v>
                </c:pt>
                <c:pt idx="12">
                  <c:v>13.755737922386752</c:v>
                </c:pt>
                <c:pt idx="13">
                  <c:v>17.180584824319176</c:v>
                </c:pt>
                <c:pt idx="14">
                  <c:v>21.131367996383833</c:v>
                </c:pt>
                <c:pt idx="15">
                  <c:v>25.645654315018724</c:v>
                </c:pt>
                <c:pt idx="16">
                  <c:v>30.761010656661853</c:v>
                </c:pt>
                <c:pt idx="17">
                  <c:v>36.515003897751264</c:v>
                </c:pt>
                <c:pt idx="18">
                  <c:v>42.945200914724943</c:v>
                </c:pt>
                <c:pt idx="19">
                  <c:v>50.089168584020932</c:v>
                </c:pt>
              </c:numCache>
            </c:numRef>
          </c:yVal>
          <c:smooth val="1"/>
          <c:extLst>
            <c:ext xmlns:c16="http://schemas.microsoft.com/office/drawing/2014/chart" uri="{C3380CC4-5D6E-409C-BE32-E72D297353CC}">
              <c16:uniqueId val="{00000002-70A1-4671-8CAC-05BFD5F8F42A}"/>
            </c:ext>
          </c:extLst>
        </c:ser>
        <c:ser>
          <c:idx val="3"/>
          <c:order val="3"/>
          <c:tx>
            <c:strRef>
              <c:f>CAVIX!$S$13</c:f>
              <c:strCache>
                <c:ptCount val="1"/>
                <c:pt idx="0">
                  <c:v>A30</c:v>
                </c:pt>
              </c:strCache>
            </c:strRef>
          </c:tx>
          <c:spPr>
            <a:ln>
              <a:solidFill>
                <a:srgbClr val="00B05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CAVIX!$S$14:$S$33</c:f>
              <c:numCache>
                <c:formatCode>0</c:formatCode>
                <c:ptCount val="20"/>
                <c:pt idx="0">
                  <c:v>7.513375287603141E-3</c:v>
                </c:pt>
                <c:pt idx="1">
                  <c:v>6.0107002300825128E-2</c:v>
                </c:pt>
                <c:pt idx="2">
                  <c:v>0.20286113276528475</c:v>
                </c:pt>
                <c:pt idx="3">
                  <c:v>0.48085601840660103</c:v>
                </c:pt>
                <c:pt idx="4">
                  <c:v>0.93917191095039254</c:v>
                </c:pt>
                <c:pt idx="5">
                  <c:v>1.622889062122278</c:v>
                </c:pt>
                <c:pt idx="6">
                  <c:v>2.5770877236478764</c:v>
                </c:pt>
                <c:pt idx="7">
                  <c:v>3.8468481472528082</c:v>
                </c:pt>
                <c:pt idx="8">
                  <c:v>5.4772505846626895</c:v>
                </c:pt>
                <c:pt idx="9">
                  <c:v>7.5133752876031403</c:v>
                </c:pt>
                <c:pt idx="10">
                  <c:v>10.00030250779978</c:v>
                </c:pt>
                <c:pt idx="11">
                  <c:v>12.983112496978224</c:v>
                </c:pt>
                <c:pt idx="12">
                  <c:v>16.506885506864101</c:v>
                </c:pt>
                <c:pt idx="13">
                  <c:v>20.616701789183011</c:v>
                </c:pt>
                <c:pt idx="14">
                  <c:v>25.357641595660596</c:v>
                </c:pt>
                <c:pt idx="15">
                  <c:v>30.774785178022466</c:v>
                </c:pt>
                <c:pt idx="16">
                  <c:v>36.913212787994219</c:v>
                </c:pt>
                <c:pt idx="17">
                  <c:v>43.818004677301516</c:v>
                </c:pt>
                <c:pt idx="18">
                  <c:v>51.534241097669934</c:v>
                </c:pt>
                <c:pt idx="19">
                  <c:v>60.107002300825123</c:v>
                </c:pt>
              </c:numCache>
            </c:numRef>
          </c:yVal>
          <c:smooth val="1"/>
          <c:extLst>
            <c:ext xmlns:c16="http://schemas.microsoft.com/office/drawing/2014/chart" uri="{C3380CC4-5D6E-409C-BE32-E72D297353CC}">
              <c16:uniqueId val="{00000003-70A1-4671-8CAC-05BFD5F8F42A}"/>
            </c:ext>
          </c:extLst>
        </c:ser>
        <c:ser>
          <c:idx val="4"/>
          <c:order val="4"/>
          <c:tx>
            <c:strRef>
              <c:f>CAVIX!$T$13</c:f>
              <c:strCache>
                <c:ptCount val="1"/>
                <c:pt idx="0">
                  <c:v>A40</c:v>
                </c:pt>
              </c:strCache>
            </c:strRef>
          </c:tx>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CAVIX!$T$14:$T$33</c:f>
              <c:numCache>
                <c:formatCode>0</c:formatCode>
                <c:ptCount val="20"/>
                <c:pt idx="0">
                  <c:v>1.0017833716804189E-2</c:v>
                </c:pt>
                <c:pt idx="1">
                  <c:v>8.0142669734433514E-2</c:v>
                </c:pt>
                <c:pt idx="2">
                  <c:v>0.27048151035371304</c:v>
                </c:pt>
                <c:pt idx="3">
                  <c:v>0.64114135787546811</c:v>
                </c:pt>
                <c:pt idx="4">
                  <c:v>1.2522292146005234</c:v>
                </c:pt>
                <c:pt idx="5">
                  <c:v>2.1638520828297043</c:v>
                </c:pt>
                <c:pt idx="6">
                  <c:v>3.4361169648638352</c:v>
                </c:pt>
                <c:pt idx="7">
                  <c:v>5.1291308630037449</c:v>
                </c:pt>
                <c:pt idx="8">
                  <c:v>7.3030007795502545</c:v>
                </c:pt>
                <c:pt idx="9">
                  <c:v>10.017833716804187</c:v>
                </c:pt>
                <c:pt idx="10">
                  <c:v>13.333736677066376</c:v>
                </c:pt>
                <c:pt idx="11">
                  <c:v>17.310816662637635</c:v>
                </c:pt>
                <c:pt idx="12">
                  <c:v>22.009180675818804</c:v>
                </c:pt>
                <c:pt idx="13">
                  <c:v>27.488935718910682</c:v>
                </c:pt>
                <c:pt idx="14">
                  <c:v>33.810188794214135</c:v>
                </c:pt>
                <c:pt idx="15">
                  <c:v>41.033046904029959</c:v>
                </c:pt>
                <c:pt idx="16">
                  <c:v>49.217617050658966</c:v>
                </c:pt>
                <c:pt idx="17">
                  <c:v>58.424006236402036</c:v>
                </c:pt>
                <c:pt idx="18">
                  <c:v>68.712321463559903</c:v>
                </c:pt>
                <c:pt idx="19">
                  <c:v>80.142669734433497</c:v>
                </c:pt>
              </c:numCache>
            </c:numRef>
          </c:yVal>
          <c:smooth val="1"/>
          <c:extLst>
            <c:ext xmlns:c16="http://schemas.microsoft.com/office/drawing/2014/chart" uri="{C3380CC4-5D6E-409C-BE32-E72D297353CC}">
              <c16:uniqueId val="{00000004-70A1-4671-8CAC-05BFD5F8F42A}"/>
            </c:ext>
          </c:extLst>
        </c:ser>
        <c:dLbls>
          <c:showLegendKey val="0"/>
          <c:showVal val="0"/>
          <c:showCatName val="0"/>
          <c:showSerName val="0"/>
          <c:showPercent val="0"/>
          <c:showBubbleSize val="0"/>
        </c:dLbls>
        <c:axId val="107568512"/>
        <c:axId val="107578880"/>
      </c:scatterChart>
      <c:valAx>
        <c:axId val="107568512"/>
        <c:scaling>
          <c:orientation val="minMax"/>
          <c:max val="100"/>
          <c:min val="20"/>
        </c:scaling>
        <c:delete val="0"/>
        <c:axPos val="b"/>
        <c:majorGridlines/>
        <c:title>
          <c:tx>
            <c:rich>
              <a:bodyPr/>
              <a:lstStyle/>
              <a:p>
                <a:pPr>
                  <a:defRPr/>
                </a:pPr>
                <a:r>
                  <a:rPr lang="it-IT"/>
                  <a:t>Diametro (cm)</a:t>
                </a:r>
              </a:p>
            </c:rich>
          </c:tx>
          <c:overlay val="0"/>
        </c:title>
        <c:numFmt formatCode="General" sourceLinked="1"/>
        <c:majorTickMark val="out"/>
        <c:minorTickMark val="none"/>
        <c:tickLblPos val="nextTo"/>
        <c:crossAx val="107578880"/>
        <c:crosses val="autoZero"/>
        <c:crossBetween val="midCat"/>
        <c:majorUnit val="10"/>
      </c:valAx>
      <c:valAx>
        <c:axId val="107578880"/>
        <c:scaling>
          <c:orientation val="minMax"/>
          <c:max val="30"/>
          <c:min val="0"/>
        </c:scaling>
        <c:delete val="0"/>
        <c:axPos val="l"/>
        <c:majorGridlines/>
        <c:title>
          <c:tx>
            <c:rich>
              <a:bodyPr rot="-5400000" vert="horz"/>
              <a:lstStyle/>
              <a:p>
                <a:pPr>
                  <a:defRPr/>
                </a:pPr>
                <a:r>
                  <a:rPr lang="it-IT"/>
                  <a:t>Forza (t)</a:t>
                </a:r>
              </a:p>
            </c:rich>
          </c:tx>
          <c:overlay val="0"/>
        </c:title>
        <c:numFmt formatCode="0" sourceLinked="1"/>
        <c:majorTickMark val="out"/>
        <c:minorTickMark val="none"/>
        <c:tickLblPos val="nextTo"/>
        <c:crossAx val="107568512"/>
        <c:crosses val="autoZero"/>
        <c:crossBetween val="midCat"/>
        <c:majorUnit val="2"/>
      </c:valAx>
    </c:plotArea>
    <c:legend>
      <c:legendPos val="r"/>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CAVIX!$P$13</c:f>
              <c:strCache>
                <c:ptCount val="1"/>
                <c:pt idx="0">
                  <c:v>A15</c:v>
                </c:pt>
              </c:strCache>
            </c:strRef>
          </c:tx>
          <c:spPr>
            <a:ln>
              <a:solidFill>
                <a:srgbClr val="C0000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CAVIX!$P$14:$P$33</c:f>
              <c:numCache>
                <c:formatCode>0</c:formatCode>
                <c:ptCount val="20"/>
                <c:pt idx="0">
                  <c:v>3.7566876438015705E-3</c:v>
                </c:pt>
                <c:pt idx="1">
                  <c:v>3.0053501150412564E-2</c:v>
                </c:pt>
                <c:pt idx="2">
                  <c:v>0.10143056638264238</c:v>
                </c:pt>
                <c:pt idx="3">
                  <c:v>0.24042800920330051</c:v>
                </c:pt>
                <c:pt idx="4">
                  <c:v>0.46958595547519627</c:v>
                </c:pt>
                <c:pt idx="5">
                  <c:v>0.81144453106113901</c:v>
                </c:pt>
                <c:pt idx="6">
                  <c:v>1.2885438618239382</c:v>
                </c:pt>
                <c:pt idx="7">
                  <c:v>1.9234240736264041</c:v>
                </c:pt>
                <c:pt idx="8">
                  <c:v>2.7386252923313448</c:v>
                </c:pt>
                <c:pt idx="9">
                  <c:v>3.7566876438015702</c:v>
                </c:pt>
                <c:pt idx="10">
                  <c:v>5.0001512538998902</c:v>
                </c:pt>
                <c:pt idx="11">
                  <c:v>6.4915562484891121</c:v>
                </c:pt>
                <c:pt idx="12">
                  <c:v>8.2534427534320507</c:v>
                </c:pt>
                <c:pt idx="13">
                  <c:v>10.308350894591506</c:v>
                </c:pt>
                <c:pt idx="14">
                  <c:v>12.678820797830298</c:v>
                </c:pt>
                <c:pt idx="15">
                  <c:v>15.387392589011233</c:v>
                </c:pt>
                <c:pt idx="16">
                  <c:v>18.456606393997109</c:v>
                </c:pt>
                <c:pt idx="17">
                  <c:v>21.909002338650758</c:v>
                </c:pt>
                <c:pt idx="18">
                  <c:v>25.767120548834967</c:v>
                </c:pt>
                <c:pt idx="19">
                  <c:v>30.053501150412561</c:v>
                </c:pt>
              </c:numCache>
            </c:numRef>
          </c:yVal>
          <c:smooth val="1"/>
          <c:extLst>
            <c:ext xmlns:c16="http://schemas.microsoft.com/office/drawing/2014/chart" uri="{C3380CC4-5D6E-409C-BE32-E72D297353CC}">
              <c16:uniqueId val="{00000000-D5B1-4D5C-AD9A-4BDDA3B616EE}"/>
            </c:ext>
          </c:extLst>
        </c:ser>
        <c:ser>
          <c:idx val="1"/>
          <c:order val="1"/>
          <c:tx>
            <c:strRef>
              <c:f>CAVIX!$Q$13</c:f>
              <c:strCache>
                <c:ptCount val="1"/>
                <c:pt idx="0">
                  <c:v>A20</c:v>
                </c:pt>
              </c:strCache>
            </c:strRef>
          </c:tx>
          <c:spPr>
            <a:ln>
              <a:solidFill>
                <a:srgbClr val="FF000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CAVIX!$Q$14:$Q$33</c:f>
              <c:numCache>
                <c:formatCode>0</c:formatCode>
                <c:ptCount val="20"/>
                <c:pt idx="0">
                  <c:v>5.0089168584020946E-3</c:v>
                </c:pt>
                <c:pt idx="1">
                  <c:v>4.0071334867216757E-2</c:v>
                </c:pt>
                <c:pt idx="2">
                  <c:v>0.13524075517685652</c:v>
                </c:pt>
                <c:pt idx="3">
                  <c:v>0.32057067893773405</c:v>
                </c:pt>
                <c:pt idx="4">
                  <c:v>0.62611460730026169</c:v>
                </c:pt>
                <c:pt idx="5">
                  <c:v>1.0819260414148522</c:v>
                </c:pt>
                <c:pt idx="6">
                  <c:v>1.7180584824319176</c:v>
                </c:pt>
                <c:pt idx="7">
                  <c:v>2.5645654315018724</c:v>
                </c:pt>
                <c:pt idx="8">
                  <c:v>3.6515003897751273</c:v>
                </c:pt>
                <c:pt idx="9">
                  <c:v>5.0089168584020936</c:v>
                </c:pt>
                <c:pt idx="10">
                  <c:v>6.6668683385331882</c:v>
                </c:pt>
                <c:pt idx="11">
                  <c:v>8.6554083313188173</c:v>
                </c:pt>
                <c:pt idx="12">
                  <c:v>11.004590337909402</c:v>
                </c:pt>
                <c:pt idx="13">
                  <c:v>13.744467859455341</c:v>
                </c:pt>
                <c:pt idx="14">
                  <c:v>16.905094397107067</c:v>
                </c:pt>
                <c:pt idx="15">
                  <c:v>20.51652345201498</c:v>
                </c:pt>
                <c:pt idx="16">
                  <c:v>24.608808525329483</c:v>
                </c:pt>
                <c:pt idx="17">
                  <c:v>29.212003118201018</c:v>
                </c:pt>
                <c:pt idx="18">
                  <c:v>34.356160731779951</c:v>
                </c:pt>
                <c:pt idx="19">
                  <c:v>40.071334867216748</c:v>
                </c:pt>
              </c:numCache>
            </c:numRef>
          </c:yVal>
          <c:smooth val="1"/>
          <c:extLst>
            <c:ext xmlns:c16="http://schemas.microsoft.com/office/drawing/2014/chart" uri="{C3380CC4-5D6E-409C-BE32-E72D297353CC}">
              <c16:uniqueId val="{00000001-D5B1-4D5C-AD9A-4BDDA3B616EE}"/>
            </c:ext>
          </c:extLst>
        </c:ser>
        <c:ser>
          <c:idx val="2"/>
          <c:order val="2"/>
          <c:tx>
            <c:strRef>
              <c:f>CAVIX!$R$13</c:f>
              <c:strCache>
                <c:ptCount val="1"/>
                <c:pt idx="0">
                  <c:v>A25</c:v>
                </c:pt>
              </c:strCache>
            </c:strRef>
          </c:tx>
          <c:spPr>
            <a:ln>
              <a:solidFill>
                <a:srgbClr val="FFC00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CAVIX!$R$14:$R$33</c:f>
              <c:numCache>
                <c:formatCode>0</c:formatCode>
                <c:ptCount val="20"/>
                <c:pt idx="0">
                  <c:v>6.2611460730026183E-3</c:v>
                </c:pt>
                <c:pt idx="1">
                  <c:v>5.0089168584020946E-2</c:v>
                </c:pt>
                <c:pt idx="2">
                  <c:v>0.16905094397107068</c:v>
                </c:pt>
                <c:pt idx="3">
                  <c:v>0.40071334867216757</c:v>
                </c:pt>
                <c:pt idx="4">
                  <c:v>0.78264325912532706</c:v>
                </c:pt>
                <c:pt idx="5">
                  <c:v>1.3524075517685654</c:v>
                </c:pt>
                <c:pt idx="6">
                  <c:v>2.147573103039897</c:v>
                </c:pt>
                <c:pt idx="7">
                  <c:v>3.2057067893773405</c:v>
                </c:pt>
                <c:pt idx="8">
                  <c:v>4.564375487218908</c:v>
                </c:pt>
                <c:pt idx="9">
                  <c:v>6.2611460730026165</c:v>
                </c:pt>
                <c:pt idx="10">
                  <c:v>8.3335854231664879</c:v>
                </c:pt>
                <c:pt idx="11">
                  <c:v>10.819260414148523</c:v>
                </c:pt>
                <c:pt idx="12">
                  <c:v>13.755737922386752</c:v>
                </c:pt>
                <c:pt idx="13">
                  <c:v>17.180584824319176</c:v>
                </c:pt>
                <c:pt idx="14">
                  <c:v>21.131367996383833</c:v>
                </c:pt>
                <c:pt idx="15">
                  <c:v>25.645654315018724</c:v>
                </c:pt>
                <c:pt idx="16">
                  <c:v>30.761010656661853</c:v>
                </c:pt>
                <c:pt idx="17">
                  <c:v>36.515003897751264</c:v>
                </c:pt>
                <c:pt idx="18">
                  <c:v>42.945200914724943</c:v>
                </c:pt>
                <c:pt idx="19">
                  <c:v>50.089168584020932</c:v>
                </c:pt>
              </c:numCache>
            </c:numRef>
          </c:yVal>
          <c:smooth val="1"/>
          <c:extLst>
            <c:ext xmlns:c16="http://schemas.microsoft.com/office/drawing/2014/chart" uri="{C3380CC4-5D6E-409C-BE32-E72D297353CC}">
              <c16:uniqueId val="{00000002-D5B1-4D5C-AD9A-4BDDA3B616EE}"/>
            </c:ext>
          </c:extLst>
        </c:ser>
        <c:ser>
          <c:idx val="3"/>
          <c:order val="3"/>
          <c:tx>
            <c:strRef>
              <c:f>CAVIX!$S$13</c:f>
              <c:strCache>
                <c:ptCount val="1"/>
                <c:pt idx="0">
                  <c:v>A30</c:v>
                </c:pt>
              </c:strCache>
            </c:strRef>
          </c:tx>
          <c:spPr>
            <a:ln>
              <a:solidFill>
                <a:srgbClr val="00B050"/>
              </a:solidFill>
            </a:ln>
          </c:spPr>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CAVIX!$S$14:$S$33</c:f>
              <c:numCache>
                <c:formatCode>0</c:formatCode>
                <c:ptCount val="20"/>
                <c:pt idx="0">
                  <c:v>7.513375287603141E-3</c:v>
                </c:pt>
                <c:pt idx="1">
                  <c:v>6.0107002300825128E-2</c:v>
                </c:pt>
                <c:pt idx="2">
                  <c:v>0.20286113276528475</c:v>
                </c:pt>
                <c:pt idx="3">
                  <c:v>0.48085601840660103</c:v>
                </c:pt>
                <c:pt idx="4">
                  <c:v>0.93917191095039254</c:v>
                </c:pt>
                <c:pt idx="5">
                  <c:v>1.622889062122278</c:v>
                </c:pt>
                <c:pt idx="6">
                  <c:v>2.5770877236478764</c:v>
                </c:pt>
                <c:pt idx="7">
                  <c:v>3.8468481472528082</c:v>
                </c:pt>
                <c:pt idx="8">
                  <c:v>5.4772505846626895</c:v>
                </c:pt>
                <c:pt idx="9">
                  <c:v>7.5133752876031403</c:v>
                </c:pt>
                <c:pt idx="10">
                  <c:v>10.00030250779978</c:v>
                </c:pt>
                <c:pt idx="11">
                  <c:v>12.983112496978224</c:v>
                </c:pt>
                <c:pt idx="12">
                  <c:v>16.506885506864101</c:v>
                </c:pt>
                <c:pt idx="13">
                  <c:v>20.616701789183011</c:v>
                </c:pt>
                <c:pt idx="14">
                  <c:v>25.357641595660596</c:v>
                </c:pt>
                <c:pt idx="15">
                  <c:v>30.774785178022466</c:v>
                </c:pt>
                <c:pt idx="16">
                  <c:v>36.913212787994219</c:v>
                </c:pt>
                <c:pt idx="17">
                  <c:v>43.818004677301516</c:v>
                </c:pt>
                <c:pt idx="18">
                  <c:v>51.534241097669934</c:v>
                </c:pt>
                <c:pt idx="19">
                  <c:v>60.107002300825123</c:v>
                </c:pt>
              </c:numCache>
            </c:numRef>
          </c:yVal>
          <c:smooth val="1"/>
          <c:extLst>
            <c:ext xmlns:c16="http://schemas.microsoft.com/office/drawing/2014/chart" uri="{C3380CC4-5D6E-409C-BE32-E72D297353CC}">
              <c16:uniqueId val="{00000003-D5B1-4D5C-AD9A-4BDDA3B616EE}"/>
            </c:ext>
          </c:extLst>
        </c:ser>
        <c:ser>
          <c:idx val="4"/>
          <c:order val="4"/>
          <c:tx>
            <c:strRef>
              <c:f>CAVIX!$T$13</c:f>
              <c:strCache>
                <c:ptCount val="1"/>
                <c:pt idx="0">
                  <c:v>A40</c:v>
                </c:pt>
              </c:strCache>
            </c:strRef>
          </c:tx>
          <c:marker>
            <c:symbol val="none"/>
          </c:marker>
          <c:xVal>
            <c:numRef>
              <c:f>CAVIX!$O$14:$O$33</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numCache>
            </c:numRef>
          </c:xVal>
          <c:yVal>
            <c:numRef>
              <c:f>CAVIX!$T$14:$T$33</c:f>
              <c:numCache>
                <c:formatCode>0</c:formatCode>
                <c:ptCount val="20"/>
                <c:pt idx="0">
                  <c:v>1.0017833716804189E-2</c:v>
                </c:pt>
                <c:pt idx="1">
                  <c:v>8.0142669734433514E-2</c:v>
                </c:pt>
                <c:pt idx="2">
                  <c:v>0.27048151035371304</c:v>
                </c:pt>
                <c:pt idx="3">
                  <c:v>0.64114135787546811</c:v>
                </c:pt>
                <c:pt idx="4">
                  <c:v>1.2522292146005234</c:v>
                </c:pt>
                <c:pt idx="5">
                  <c:v>2.1638520828297043</c:v>
                </c:pt>
                <c:pt idx="6">
                  <c:v>3.4361169648638352</c:v>
                </c:pt>
                <c:pt idx="7">
                  <c:v>5.1291308630037449</c:v>
                </c:pt>
                <c:pt idx="8">
                  <c:v>7.3030007795502545</c:v>
                </c:pt>
                <c:pt idx="9">
                  <c:v>10.017833716804187</c:v>
                </c:pt>
                <c:pt idx="10">
                  <c:v>13.333736677066376</c:v>
                </c:pt>
                <c:pt idx="11">
                  <c:v>17.310816662637635</c:v>
                </c:pt>
                <c:pt idx="12">
                  <c:v>22.009180675818804</c:v>
                </c:pt>
                <c:pt idx="13">
                  <c:v>27.488935718910682</c:v>
                </c:pt>
                <c:pt idx="14">
                  <c:v>33.810188794214135</c:v>
                </c:pt>
                <c:pt idx="15">
                  <c:v>41.033046904029959</c:v>
                </c:pt>
                <c:pt idx="16">
                  <c:v>49.217617050658966</c:v>
                </c:pt>
                <c:pt idx="17">
                  <c:v>58.424006236402036</c:v>
                </c:pt>
                <c:pt idx="18">
                  <c:v>68.712321463559903</c:v>
                </c:pt>
                <c:pt idx="19">
                  <c:v>80.142669734433497</c:v>
                </c:pt>
              </c:numCache>
            </c:numRef>
          </c:yVal>
          <c:smooth val="1"/>
          <c:extLst>
            <c:ext xmlns:c16="http://schemas.microsoft.com/office/drawing/2014/chart" uri="{C3380CC4-5D6E-409C-BE32-E72D297353CC}">
              <c16:uniqueId val="{00000004-D5B1-4D5C-AD9A-4BDDA3B616EE}"/>
            </c:ext>
          </c:extLst>
        </c:ser>
        <c:dLbls>
          <c:showLegendKey val="0"/>
          <c:showVal val="0"/>
          <c:showCatName val="0"/>
          <c:showSerName val="0"/>
          <c:showPercent val="0"/>
          <c:showBubbleSize val="0"/>
        </c:dLbls>
        <c:axId val="107368832"/>
        <c:axId val="107370368"/>
      </c:scatterChart>
      <c:valAx>
        <c:axId val="107368832"/>
        <c:scaling>
          <c:orientation val="minMax"/>
          <c:max val="50"/>
          <c:min val="20"/>
        </c:scaling>
        <c:delete val="0"/>
        <c:axPos val="b"/>
        <c:majorGridlines/>
        <c:numFmt formatCode="General" sourceLinked="1"/>
        <c:majorTickMark val="out"/>
        <c:minorTickMark val="none"/>
        <c:tickLblPos val="nextTo"/>
        <c:crossAx val="107370368"/>
        <c:crosses val="autoZero"/>
        <c:crossBetween val="midCat"/>
        <c:majorUnit val="5"/>
      </c:valAx>
      <c:valAx>
        <c:axId val="107370368"/>
        <c:scaling>
          <c:orientation val="minMax"/>
          <c:max val="5"/>
          <c:min val="0"/>
        </c:scaling>
        <c:delete val="0"/>
        <c:axPos val="l"/>
        <c:majorGridlines/>
        <c:numFmt formatCode="0" sourceLinked="1"/>
        <c:majorTickMark val="out"/>
        <c:minorTickMark val="none"/>
        <c:tickLblPos val="nextTo"/>
        <c:crossAx val="107368832"/>
        <c:crosses val="autoZero"/>
        <c:crossBetween val="midCat"/>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359276292997"/>
          <c:y val="6.2963190694410823E-2"/>
          <c:w val="0.65965077150166362"/>
          <c:h val="0.84140549470422343"/>
        </c:manualLayout>
      </c:layout>
      <c:scatterChart>
        <c:scatterStyle val="smoothMarker"/>
        <c:varyColors val="0"/>
        <c:ser>
          <c:idx val="1"/>
          <c:order val="0"/>
          <c:tx>
            <c:strRef>
              <c:f>massa!$C$9</c:f>
              <c:strCache>
                <c:ptCount val="1"/>
                <c:pt idx="0">
                  <c:v>500</c:v>
                </c:pt>
              </c:strCache>
            </c:strRef>
          </c:tx>
          <c:spPr>
            <a:ln w="38100">
              <a:solidFill>
                <a:srgbClr val="C000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massa!$C$10:$C$41</c:f>
              <c:numCache>
                <c:formatCode>0.0</c:formatCode>
                <c:ptCount val="32"/>
                <c:pt idx="0">
                  <c:v>0.39269908169872414</c:v>
                </c:pt>
                <c:pt idx="1">
                  <c:v>0.56548667764616267</c:v>
                </c:pt>
                <c:pt idx="2">
                  <c:v>0.7696902001294994</c:v>
                </c:pt>
                <c:pt idx="3">
                  <c:v>1.0053096491487337</c:v>
                </c:pt>
                <c:pt idx="4">
                  <c:v>1.2723450247038661</c:v>
                </c:pt>
                <c:pt idx="5">
                  <c:v>1.5707963267948966</c:v>
                </c:pt>
                <c:pt idx="6">
                  <c:v>2.0773781421862507</c:v>
                </c:pt>
                <c:pt idx="7">
                  <c:v>2.6546457922833753</c:v>
                </c:pt>
                <c:pt idx="8">
                  <c:v>3.3025992770862702</c:v>
                </c:pt>
                <c:pt idx="9">
                  <c:v>4.0212385965949347</c:v>
                </c:pt>
                <c:pt idx="10">
                  <c:v>4.8105637508093704</c:v>
                </c:pt>
                <c:pt idx="11">
                  <c:v>5.6705747397295774</c:v>
                </c:pt>
                <c:pt idx="12">
                  <c:v>6.6012715633555512</c:v>
                </c:pt>
                <c:pt idx="13">
                  <c:v>7.6026542216872999</c:v>
                </c:pt>
                <c:pt idx="14">
                  <c:v>8.6747227147248154</c:v>
                </c:pt>
                <c:pt idx="15">
                  <c:v>9.8174770424681039</c:v>
                </c:pt>
                <c:pt idx="16">
                  <c:v>11.879147221386409</c:v>
                </c:pt>
                <c:pt idx="17">
                  <c:v>14.137166941154069</c:v>
                </c:pt>
                <c:pt idx="18">
                  <c:v>16.591536201771095</c:v>
                </c:pt>
                <c:pt idx="19">
                  <c:v>19.242255003237482</c:v>
                </c:pt>
                <c:pt idx="20">
                  <c:v>22.089323345553236</c:v>
                </c:pt>
                <c:pt idx="21">
                  <c:v>25.132741228718345</c:v>
                </c:pt>
                <c:pt idx="22">
                  <c:v>28.372508652732812</c:v>
                </c:pt>
                <c:pt idx="23">
                  <c:v>31.808625617596658</c:v>
                </c:pt>
                <c:pt idx="24">
                  <c:v>35.441092123309858</c:v>
                </c:pt>
                <c:pt idx="25">
                  <c:v>39.269908169872416</c:v>
                </c:pt>
                <c:pt idx="26">
                  <c:v>47.516588885545637</c:v>
                </c:pt>
                <c:pt idx="27">
                  <c:v>56.548667764616276</c:v>
                </c:pt>
                <c:pt idx="28">
                  <c:v>66.366144807084382</c:v>
                </c:pt>
                <c:pt idx="29">
                  <c:v>76.969020012949926</c:v>
                </c:pt>
                <c:pt idx="30">
                  <c:v>88.357293382212944</c:v>
                </c:pt>
                <c:pt idx="31">
                  <c:v>157.07963267948966</c:v>
                </c:pt>
              </c:numCache>
            </c:numRef>
          </c:yVal>
          <c:smooth val="1"/>
          <c:extLst>
            <c:ext xmlns:c16="http://schemas.microsoft.com/office/drawing/2014/chart" uri="{C3380CC4-5D6E-409C-BE32-E72D297353CC}">
              <c16:uniqueId val="{00000000-6FB2-41E3-B9E2-82E5FAB4D102}"/>
            </c:ext>
          </c:extLst>
        </c:ser>
        <c:ser>
          <c:idx val="2"/>
          <c:order val="1"/>
          <c:tx>
            <c:strRef>
              <c:f>massa!$D$9</c:f>
              <c:strCache>
                <c:ptCount val="1"/>
                <c:pt idx="0">
                  <c:v>600</c:v>
                </c:pt>
              </c:strCache>
            </c:strRef>
          </c:tx>
          <c:spPr>
            <a:ln w="19050">
              <a:solidFill>
                <a:srgbClr val="FF00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massa!$D$10:$D$41</c:f>
              <c:numCache>
                <c:formatCode>0.0</c:formatCode>
                <c:ptCount val="32"/>
                <c:pt idx="0">
                  <c:v>0.47123889803846891</c:v>
                </c:pt>
                <c:pt idx="1">
                  <c:v>0.67858401317539518</c:v>
                </c:pt>
                <c:pt idx="2">
                  <c:v>0.92362824015539924</c:v>
                </c:pt>
                <c:pt idx="3">
                  <c:v>1.2063715789784804</c:v>
                </c:pt>
                <c:pt idx="4">
                  <c:v>1.5268140296446393</c:v>
                </c:pt>
                <c:pt idx="5">
                  <c:v>1.8849555921538756</c:v>
                </c:pt>
                <c:pt idx="6">
                  <c:v>2.4928537706235012</c:v>
                </c:pt>
                <c:pt idx="7">
                  <c:v>3.1855749507400501</c:v>
                </c:pt>
                <c:pt idx="8">
                  <c:v>3.963119132503524</c:v>
                </c:pt>
                <c:pt idx="9">
                  <c:v>4.8254863159139214</c:v>
                </c:pt>
                <c:pt idx="10">
                  <c:v>5.7726765009712437</c:v>
                </c:pt>
                <c:pt idx="11">
                  <c:v>6.8046896876754923</c:v>
                </c:pt>
                <c:pt idx="12">
                  <c:v>7.9215258760266609</c:v>
                </c:pt>
                <c:pt idx="13">
                  <c:v>9.1231850660247602</c:v>
                </c:pt>
                <c:pt idx="14">
                  <c:v>10.409667257669778</c:v>
                </c:pt>
                <c:pt idx="15">
                  <c:v>11.780972450961723</c:v>
                </c:pt>
                <c:pt idx="16">
                  <c:v>14.254976665663689</c:v>
                </c:pt>
                <c:pt idx="17">
                  <c:v>16.964600329384883</c:v>
                </c:pt>
                <c:pt idx="18">
                  <c:v>19.909843442125315</c:v>
                </c:pt>
                <c:pt idx="19">
                  <c:v>23.090706003884975</c:v>
                </c:pt>
                <c:pt idx="20">
                  <c:v>26.507188014663878</c:v>
                </c:pt>
                <c:pt idx="21">
                  <c:v>30.15928947446201</c:v>
                </c:pt>
                <c:pt idx="22">
                  <c:v>34.047010383279378</c:v>
                </c:pt>
                <c:pt idx="23">
                  <c:v>38.170350741115989</c:v>
                </c:pt>
                <c:pt idx="24">
                  <c:v>42.529310547971825</c:v>
                </c:pt>
                <c:pt idx="25">
                  <c:v>47.123889803846893</c:v>
                </c:pt>
                <c:pt idx="26">
                  <c:v>57.019906662654755</c:v>
                </c:pt>
                <c:pt idx="27">
                  <c:v>67.858401317539531</c:v>
                </c:pt>
                <c:pt idx="28">
                  <c:v>79.639373768501258</c:v>
                </c:pt>
                <c:pt idx="29">
                  <c:v>92.3628240155399</c:v>
                </c:pt>
                <c:pt idx="30">
                  <c:v>106.02875205865551</c:v>
                </c:pt>
                <c:pt idx="31">
                  <c:v>188.49555921538757</c:v>
                </c:pt>
              </c:numCache>
            </c:numRef>
          </c:yVal>
          <c:smooth val="1"/>
          <c:extLst>
            <c:ext xmlns:c16="http://schemas.microsoft.com/office/drawing/2014/chart" uri="{C3380CC4-5D6E-409C-BE32-E72D297353CC}">
              <c16:uniqueId val="{00000001-6FB2-41E3-B9E2-82E5FAB4D102}"/>
            </c:ext>
          </c:extLst>
        </c:ser>
        <c:ser>
          <c:idx val="3"/>
          <c:order val="2"/>
          <c:tx>
            <c:strRef>
              <c:f>massa!$E$9</c:f>
              <c:strCache>
                <c:ptCount val="1"/>
                <c:pt idx="0">
                  <c:v>700</c:v>
                </c:pt>
              </c:strCache>
            </c:strRef>
          </c:tx>
          <c:spPr>
            <a:ln w="19050">
              <a:solidFill>
                <a:srgbClr val="FFC0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massa!$E$10:$E$41</c:f>
              <c:numCache>
                <c:formatCode>0.0</c:formatCode>
                <c:ptCount val="32"/>
                <c:pt idx="0">
                  <c:v>0.5497787143782138</c:v>
                </c:pt>
                <c:pt idx="1">
                  <c:v>0.79168134870462781</c:v>
                </c:pt>
                <c:pt idx="2">
                  <c:v>1.0775662801812993</c:v>
                </c:pt>
                <c:pt idx="3">
                  <c:v>1.4074335088082273</c:v>
                </c:pt>
                <c:pt idx="4">
                  <c:v>1.7812830345854127</c:v>
                </c:pt>
                <c:pt idx="5">
                  <c:v>2.1991148575128552</c:v>
                </c:pt>
                <c:pt idx="6">
                  <c:v>2.9083293990607513</c:v>
                </c:pt>
                <c:pt idx="7">
                  <c:v>3.7165041091967259</c:v>
                </c:pt>
                <c:pt idx="8">
                  <c:v>4.6236389879207778</c:v>
                </c:pt>
                <c:pt idx="9">
                  <c:v>5.6297340352329091</c:v>
                </c:pt>
                <c:pt idx="10">
                  <c:v>6.734789251133118</c:v>
                </c:pt>
                <c:pt idx="11">
                  <c:v>7.9388046356214081</c:v>
                </c:pt>
                <c:pt idx="12">
                  <c:v>9.2417801886977706</c:v>
                </c:pt>
                <c:pt idx="13">
                  <c:v>10.643715910362218</c:v>
                </c:pt>
                <c:pt idx="14">
                  <c:v>12.144611800614742</c:v>
                </c:pt>
                <c:pt idx="15">
                  <c:v>13.744467859455344</c:v>
                </c:pt>
                <c:pt idx="16">
                  <c:v>16.63080610994097</c:v>
                </c:pt>
                <c:pt idx="17">
                  <c:v>19.792033717615698</c:v>
                </c:pt>
                <c:pt idx="18">
                  <c:v>23.22815068247953</c:v>
                </c:pt>
                <c:pt idx="19">
                  <c:v>26.939157004532472</c:v>
                </c:pt>
                <c:pt idx="20">
                  <c:v>30.925052683774524</c:v>
                </c:pt>
                <c:pt idx="21">
                  <c:v>35.185837720205683</c:v>
                </c:pt>
                <c:pt idx="22">
                  <c:v>39.721512113825945</c:v>
                </c:pt>
                <c:pt idx="23">
                  <c:v>44.532075864635317</c:v>
                </c:pt>
                <c:pt idx="24">
                  <c:v>49.617528972633799</c:v>
                </c:pt>
                <c:pt idx="25">
                  <c:v>54.977871437821378</c:v>
                </c:pt>
                <c:pt idx="26">
                  <c:v>66.523224439763879</c:v>
                </c:pt>
                <c:pt idx="27">
                  <c:v>79.168134870462794</c:v>
                </c:pt>
                <c:pt idx="28">
                  <c:v>92.91260272991812</c:v>
                </c:pt>
                <c:pt idx="29">
                  <c:v>107.75662801812989</c:v>
                </c:pt>
                <c:pt idx="30">
                  <c:v>123.7002107350981</c:v>
                </c:pt>
                <c:pt idx="31">
                  <c:v>219.91148575128551</c:v>
                </c:pt>
              </c:numCache>
            </c:numRef>
          </c:yVal>
          <c:smooth val="1"/>
          <c:extLst>
            <c:ext xmlns:c16="http://schemas.microsoft.com/office/drawing/2014/chart" uri="{C3380CC4-5D6E-409C-BE32-E72D297353CC}">
              <c16:uniqueId val="{00000002-6FB2-41E3-B9E2-82E5FAB4D102}"/>
            </c:ext>
          </c:extLst>
        </c:ser>
        <c:ser>
          <c:idx val="4"/>
          <c:order val="3"/>
          <c:tx>
            <c:strRef>
              <c:f>massa!$F$9</c:f>
              <c:strCache>
                <c:ptCount val="1"/>
                <c:pt idx="0">
                  <c:v>800</c:v>
                </c:pt>
              </c:strCache>
            </c:strRef>
          </c:tx>
          <c:spPr>
            <a:ln w="19050">
              <a:solidFill>
                <a:srgbClr val="FFFF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massa!$F$10:$F$41</c:f>
              <c:numCache>
                <c:formatCode>0.0</c:formatCode>
                <c:ptCount val="32"/>
                <c:pt idx="0">
                  <c:v>0.62831853071795862</c:v>
                </c:pt>
                <c:pt idx="1">
                  <c:v>0.90477868423386032</c:v>
                </c:pt>
                <c:pt idx="2">
                  <c:v>1.2315043202071991</c:v>
                </c:pt>
                <c:pt idx="3">
                  <c:v>1.6084954386379742</c:v>
                </c:pt>
                <c:pt idx="4">
                  <c:v>2.0357520395261859</c:v>
                </c:pt>
                <c:pt idx="5">
                  <c:v>2.5132741228718345</c:v>
                </c:pt>
                <c:pt idx="6">
                  <c:v>3.3238050274980013</c:v>
                </c:pt>
                <c:pt idx="7">
                  <c:v>4.2474332676534008</c:v>
                </c:pt>
                <c:pt idx="8">
                  <c:v>5.284158843338032</c:v>
                </c:pt>
                <c:pt idx="9">
                  <c:v>6.4339817545518967</c:v>
                </c:pt>
                <c:pt idx="10">
                  <c:v>7.6969020012949922</c:v>
                </c:pt>
                <c:pt idx="11">
                  <c:v>9.0729195835673231</c:v>
                </c:pt>
                <c:pt idx="12">
                  <c:v>10.562034501368879</c:v>
                </c:pt>
                <c:pt idx="13">
                  <c:v>12.164246754699679</c:v>
                </c:pt>
                <c:pt idx="14">
                  <c:v>13.879556343559704</c:v>
                </c:pt>
                <c:pt idx="15">
                  <c:v>15.707963267948964</c:v>
                </c:pt>
                <c:pt idx="16">
                  <c:v>19.006635554218253</c:v>
                </c:pt>
                <c:pt idx="17">
                  <c:v>22.61946710584651</c:v>
                </c:pt>
                <c:pt idx="18">
                  <c:v>26.546457922833753</c:v>
                </c:pt>
                <c:pt idx="19">
                  <c:v>30.787608005179969</c:v>
                </c:pt>
                <c:pt idx="20">
                  <c:v>35.342917352885173</c:v>
                </c:pt>
                <c:pt idx="21">
                  <c:v>40.212385965949352</c:v>
                </c:pt>
                <c:pt idx="22">
                  <c:v>45.396013844372504</c:v>
                </c:pt>
                <c:pt idx="23">
                  <c:v>50.893800988154652</c:v>
                </c:pt>
                <c:pt idx="24">
                  <c:v>56.705747397295767</c:v>
                </c:pt>
                <c:pt idx="25">
                  <c:v>62.831853071795855</c:v>
                </c:pt>
                <c:pt idx="26">
                  <c:v>76.026542216873011</c:v>
                </c:pt>
                <c:pt idx="27">
                  <c:v>90.477868423386042</c:v>
                </c:pt>
                <c:pt idx="28">
                  <c:v>106.18583169133501</c:v>
                </c:pt>
                <c:pt idx="29">
                  <c:v>123.15043202071988</c:v>
                </c:pt>
                <c:pt idx="30">
                  <c:v>141.37166941154069</c:v>
                </c:pt>
                <c:pt idx="31">
                  <c:v>251.32741228718342</c:v>
                </c:pt>
              </c:numCache>
            </c:numRef>
          </c:yVal>
          <c:smooth val="1"/>
          <c:extLst>
            <c:ext xmlns:c16="http://schemas.microsoft.com/office/drawing/2014/chart" uri="{C3380CC4-5D6E-409C-BE32-E72D297353CC}">
              <c16:uniqueId val="{00000003-6FB2-41E3-B9E2-82E5FAB4D102}"/>
            </c:ext>
          </c:extLst>
        </c:ser>
        <c:ser>
          <c:idx val="5"/>
          <c:order val="4"/>
          <c:tx>
            <c:strRef>
              <c:f>massa!$G$9</c:f>
              <c:strCache>
                <c:ptCount val="1"/>
                <c:pt idx="0">
                  <c:v>900</c:v>
                </c:pt>
              </c:strCache>
            </c:strRef>
          </c:tx>
          <c:spPr>
            <a:ln w="19050">
              <a:solidFill>
                <a:srgbClr val="00B05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massa!$G$10:$G$41</c:f>
              <c:numCache>
                <c:formatCode>0.0</c:formatCode>
                <c:ptCount val="32"/>
                <c:pt idx="0">
                  <c:v>0.70685834705770345</c:v>
                </c:pt>
                <c:pt idx="1">
                  <c:v>1.0178760197630929</c:v>
                </c:pt>
                <c:pt idx="2">
                  <c:v>1.385442360233099</c:v>
                </c:pt>
                <c:pt idx="3">
                  <c:v>1.8095573684677209</c:v>
                </c:pt>
                <c:pt idx="4">
                  <c:v>2.2902210444669593</c:v>
                </c:pt>
                <c:pt idx="5">
                  <c:v>2.8274333882308138</c:v>
                </c:pt>
                <c:pt idx="6">
                  <c:v>3.7392806559352518</c:v>
                </c:pt>
                <c:pt idx="7">
                  <c:v>4.7783624261100757</c:v>
                </c:pt>
                <c:pt idx="8">
                  <c:v>5.9446786987552853</c:v>
                </c:pt>
                <c:pt idx="9">
                  <c:v>7.2382294738708834</c:v>
                </c:pt>
                <c:pt idx="10">
                  <c:v>8.6590147514568656</c:v>
                </c:pt>
                <c:pt idx="11">
                  <c:v>10.207034531513239</c:v>
                </c:pt>
                <c:pt idx="12">
                  <c:v>11.882288814039992</c:v>
                </c:pt>
                <c:pt idx="13">
                  <c:v>13.684777599037139</c:v>
                </c:pt>
                <c:pt idx="14">
                  <c:v>15.614500886504668</c:v>
                </c:pt>
                <c:pt idx="15">
                  <c:v>17.671458676442587</c:v>
                </c:pt>
                <c:pt idx="16">
                  <c:v>21.382464998495536</c:v>
                </c:pt>
                <c:pt idx="17">
                  <c:v>25.446900494077322</c:v>
                </c:pt>
                <c:pt idx="18">
                  <c:v>29.864765163187972</c:v>
                </c:pt>
                <c:pt idx="19">
                  <c:v>34.636059005827462</c:v>
                </c:pt>
                <c:pt idx="20">
                  <c:v>39.760782021995823</c:v>
                </c:pt>
                <c:pt idx="21">
                  <c:v>45.238934211693021</c:v>
                </c:pt>
                <c:pt idx="22">
                  <c:v>51.070515574919064</c:v>
                </c:pt>
                <c:pt idx="23">
                  <c:v>57.25552611167398</c:v>
                </c:pt>
                <c:pt idx="24">
                  <c:v>63.793965821957734</c:v>
                </c:pt>
                <c:pt idx="25">
                  <c:v>70.685834705770347</c:v>
                </c:pt>
                <c:pt idx="26">
                  <c:v>85.529859993982143</c:v>
                </c:pt>
                <c:pt idx="27">
                  <c:v>101.78760197630929</c:v>
                </c:pt>
                <c:pt idx="28">
                  <c:v>119.45906065275189</c:v>
                </c:pt>
                <c:pt idx="29">
                  <c:v>138.54423602330985</c:v>
                </c:pt>
                <c:pt idx="30">
                  <c:v>159.04312808798329</c:v>
                </c:pt>
                <c:pt idx="31">
                  <c:v>282.74333882308139</c:v>
                </c:pt>
              </c:numCache>
            </c:numRef>
          </c:yVal>
          <c:smooth val="1"/>
          <c:extLst>
            <c:ext xmlns:c16="http://schemas.microsoft.com/office/drawing/2014/chart" uri="{C3380CC4-5D6E-409C-BE32-E72D297353CC}">
              <c16:uniqueId val="{00000004-6FB2-41E3-B9E2-82E5FAB4D102}"/>
            </c:ext>
          </c:extLst>
        </c:ser>
        <c:ser>
          <c:idx val="6"/>
          <c:order val="5"/>
          <c:tx>
            <c:strRef>
              <c:f>massa!$H$9</c:f>
              <c:strCache>
                <c:ptCount val="1"/>
                <c:pt idx="0">
                  <c:v>1000</c:v>
                </c:pt>
              </c:strCache>
            </c:strRef>
          </c:tx>
          <c:spPr>
            <a:ln w="38100">
              <a:solidFill>
                <a:srgbClr val="0070C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massa!$H$10:$H$41</c:f>
              <c:numCache>
                <c:formatCode>0.0</c:formatCode>
                <c:ptCount val="32"/>
                <c:pt idx="0">
                  <c:v>0.78539816339744828</c:v>
                </c:pt>
                <c:pt idx="1">
                  <c:v>1.1309733552923253</c:v>
                </c:pt>
                <c:pt idx="2">
                  <c:v>1.5393804002589988</c:v>
                </c:pt>
                <c:pt idx="3">
                  <c:v>2.0106192982974673</c:v>
                </c:pt>
                <c:pt idx="4">
                  <c:v>2.5446900494077322</c:v>
                </c:pt>
                <c:pt idx="5">
                  <c:v>3.1415926535897931</c:v>
                </c:pt>
                <c:pt idx="6">
                  <c:v>4.1547562843725014</c:v>
                </c:pt>
                <c:pt idx="7">
                  <c:v>5.3092915845667505</c:v>
                </c:pt>
                <c:pt idx="8">
                  <c:v>6.6051985541725404</c:v>
                </c:pt>
                <c:pt idx="9">
                  <c:v>8.0424771931898693</c:v>
                </c:pt>
                <c:pt idx="10">
                  <c:v>9.6211275016187408</c:v>
                </c:pt>
                <c:pt idx="11">
                  <c:v>11.341149479459155</c:v>
                </c:pt>
                <c:pt idx="12">
                  <c:v>13.202543126711102</c:v>
                </c:pt>
                <c:pt idx="13">
                  <c:v>15.2053084433746</c:v>
                </c:pt>
                <c:pt idx="14">
                  <c:v>17.349445429449631</c:v>
                </c:pt>
                <c:pt idx="15">
                  <c:v>19.634954084936208</c:v>
                </c:pt>
                <c:pt idx="16">
                  <c:v>23.758294442772819</c:v>
                </c:pt>
                <c:pt idx="17">
                  <c:v>28.274333882308138</c:v>
                </c:pt>
                <c:pt idx="18">
                  <c:v>33.183072403542191</c:v>
                </c:pt>
                <c:pt idx="19">
                  <c:v>38.484510006474963</c:v>
                </c:pt>
                <c:pt idx="20">
                  <c:v>44.178646691106472</c:v>
                </c:pt>
                <c:pt idx="21">
                  <c:v>50.26548245743669</c:v>
                </c:pt>
                <c:pt idx="22">
                  <c:v>56.745017305465623</c:v>
                </c:pt>
                <c:pt idx="23">
                  <c:v>63.617251235193315</c:v>
                </c:pt>
                <c:pt idx="24">
                  <c:v>70.882184246619715</c:v>
                </c:pt>
                <c:pt idx="25">
                  <c:v>78.539816339744831</c:v>
                </c:pt>
                <c:pt idx="26">
                  <c:v>95.033177771091275</c:v>
                </c:pt>
                <c:pt idx="27">
                  <c:v>113.09733552923255</c:v>
                </c:pt>
                <c:pt idx="28">
                  <c:v>132.73228961416876</c:v>
                </c:pt>
                <c:pt idx="29">
                  <c:v>153.93804002589985</c:v>
                </c:pt>
                <c:pt idx="30">
                  <c:v>176.71458676442589</c:v>
                </c:pt>
                <c:pt idx="31">
                  <c:v>314.15926535897933</c:v>
                </c:pt>
              </c:numCache>
            </c:numRef>
          </c:yVal>
          <c:smooth val="1"/>
          <c:extLst>
            <c:ext xmlns:c16="http://schemas.microsoft.com/office/drawing/2014/chart" uri="{C3380CC4-5D6E-409C-BE32-E72D297353CC}">
              <c16:uniqueId val="{00000005-6FB2-41E3-B9E2-82E5FAB4D102}"/>
            </c:ext>
          </c:extLst>
        </c:ser>
        <c:ser>
          <c:idx val="7"/>
          <c:order val="6"/>
          <c:tx>
            <c:strRef>
              <c:f>massa!$I$9</c:f>
              <c:strCache>
                <c:ptCount val="1"/>
                <c:pt idx="0">
                  <c:v>1100</c:v>
                </c:pt>
              </c:strCache>
            </c:strRef>
          </c:tx>
          <c:spPr>
            <a:ln w="19050">
              <a:solidFill>
                <a:srgbClr val="7030A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massa!$I$10:$I$41</c:f>
              <c:numCache>
                <c:formatCode>0.0</c:formatCode>
                <c:ptCount val="32"/>
                <c:pt idx="0">
                  <c:v>0.86393797973719311</c:v>
                </c:pt>
                <c:pt idx="1">
                  <c:v>1.244070690821558</c:v>
                </c:pt>
                <c:pt idx="2">
                  <c:v>1.6933184402848989</c:v>
                </c:pt>
                <c:pt idx="3">
                  <c:v>2.211681228127214</c:v>
                </c:pt>
                <c:pt idx="4">
                  <c:v>2.7991590543485056</c:v>
                </c:pt>
                <c:pt idx="5">
                  <c:v>3.4557519189487724</c:v>
                </c:pt>
                <c:pt idx="6">
                  <c:v>4.5702319128097519</c:v>
                </c:pt>
                <c:pt idx="7">
                  <c:v>5.8402207430234263</c:v>
                </c:pt>
                <c:pt idx="8">
                  <c:v>7.2657184095897938</c:v>
                </c:pt>
                <c:pt idx="9">
                  <c:v>8.8467249125088561</c:v>
                </c:pt>
                <c:pt idx="10">
                  <c:v>10.583240251780614</c:v>
                </c:pt>
                <c:pt idx="11">
                  <c:v>12.475264427405071</c:v>
                </c:pt>
                <c:pt idx="12">
                  <c:v>14.522797439382211</c:v>
                </c:pt>
                <c:pt idx="13">
                  <c:v>16.725839287712059</c:v>
                </c:pt>
                <c:pt idx="14">
                  <c:v>19.084389972394593</c:v>
                </c:pt>
                <c:pt idx="15">
                  <c:v>21.598449493429825</c:v>
                </c:pt>
                <c:pt idx="16">
                  <c:v>26.134123887050094</c:v>
                </c:pt>
                <c:pt idx="17">
                  <c:v>31.101767270538954</c:v>
                </c:pt>
                <c:pt idx="18">
                  <c:v>36.501379643896414</c:v>
                </c:pt>
                <c:pt idx="19">
                  <c:v>42.332961007122456</c:v>
                </c:pt>
                <c:pt idx="20">
                  <c:v>48.596511360217107</c:v>
                </c:pt>
                <c:pt idx="21">
                  <c:v>55.292030703180359</c:v>
                </c:pt>
                <c:pt idx="22">
                  <c:v>62.419519036012197</c:v>
                </c:pt>
                <c:pt idx="23">
                  <c:v>69.978976358712643</c:v>
                </c:pt>
                <c:pt idx="24">
                  <c:v>77.970402671281676</c:v>
                </c:pt>
                <c:pt idx="25">
                  <c:v>86.393797973719302</c:v>
                </c:pt>
                <c:pt idx="26">
                  <c:v>104.53649554820038</c:v>
                </c:pt>
                <c:pt idx="27">
                  <c:v>124.40706908215581</c:v>
                </c:pt>
                <c:pt idx="28">
                  <c:v>146.00551857558565</c:v>
                </c:pt>
                <c:pt idx="29">
                  <c:v>169.33184402848983</c:v>
                </c:pt>
                <c:pt idx="30">
                  <c:v>194.38604544086843</c:v>
                </c:pt>
                <c:pt idx="31">
                  <c:v>345.57519189487721</c:v>
                </c:pt>
              </c:numCache>
            </c:numRef>
          </c:yVal>
          <c:smooth val="1"/>
          <c:extLst>
            <c:ext xmlns:c16="http://schemas.microsoft.com/office/drawing/2014/chart" uri="{C3380CC4-5D6E-409C-BE32-E72D297353CC}">
              <c16:uniqueId val="{00000006-6FB2-41E3-B9E2-82E5FAB4D102}"/>
            </c:ext>
          </c:extLst>
        </c:ser>
        <c:ser>
          <c:idx val="8"/>
          <c:order val="7"/>
          <c:tx>
            <c:strRef>
              <c:f>massa!$J$9</c:f>
              <c:strCache>
                <c:ptCount val="1"/>
                <c:pt idx="0">
                  <c:v>1200</c:v>
                </c:pt>
              </c:strCache>
            </c:strRef>
          </c:tx>
          <c:spPr>
            <a:ln w="38100">
              <a:solidFill>
                <a:schemeClr val="tx1"/>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massa!$J$10:$J$41</c:f>
              <c:numCache>
                <c:formatCode>0.0</c:formatCode>
                <c:ptCount val="32"/>
                <c:pt idx="0">
                  <c:v>0.94247779607693782</c:v>
                </c:pt>
                <c:pt idx="1">
                  <c:v>1.3571680263507904</c:v>
                </c:pt>
                <c:pt idx="2">
                  <c:v>1.8472564803107985</c:v>
                </c:pt>
                <c:pt idx="3">
                  <c:v>2.4127431579569607</c:v>
                </c:pt>
                <c:pt idx="4">
                  <c:v>3.0536280592892786</c:v>
                </c:pt>
                <c:pt idx="5">
                  <c:v>3.7699111843077513</c:v>
                </c:pt>
                <c:pt idx="6">
                  <c:v>4.9857075412470024</c:v>
                </c:pt>
                <c:pt idx="7">
                  <c:v>6.3711499014801003</c:v>
                </c:pt>
                <c:pt idx="8">
                  <c:v>7.926238265007048</c:v>
                </c:pt>
                <c:pt idx="9">
                  <c:v>9.6509726318278428</c:v>
                </c:pt>
                <c:pt idx="10">
                  <c:v>11.545353001942487</c:v>
                </c:pt>
                <c:pt idx="11">
                  <c:v>13.609379375350985</c:v>
                </c:pt>
                <c:pt idx="12">
                  <c:v>15.843051752053322</c:v>
                </c:pt>
                <c:pt idx="13">
                  <c:v>18.24637013204952</c:v>
                </c:pt>
                <c:pt idx="14">
                  <c:v>20.819334515339555</c:v>
                </c:pt>
                <c:pt idx="15">
                  <c:v>23.561944901923447</c:v>
                </c:pt>
                <c:pt idx="16">
                  <c:v>28.509953331327377</c:v>
                </c:pt>
                <c:pt idx="17">
                  <c:v>33.929200658769766</c:v>
                </c:pt>
                <c:pt idx="18">
                  <c:v>39.819686884250629</c:v>
                </c:pt>
                <c:pt idx="19">
                  <c:v>46.18141200776995</c:v>
                </c:pt>
                <c:pt idx="20">
                  <c:v>53.014376029327757</c:v>
                </c:pt>
                <c:pt idx="21">
                  <c:v>60.318578948924021</c:v>
                </c:pt>
                <c:pt idx="22">
                  <c:v>68.094020766558756</c:v>
                </c:pt>
                <c:pt idx="23">
                  <c:v>76.340701482231978</c:v>
                </c:pt>
                <c:pt idx="24">
                  <c:v>85.05862109594365</c:v>
                </c:pt>
                <c:pt idx="25">
                  <c:v>94.247779607693786</c:v>
                </c:pt>
                <c:pt idx="26">
                  <c:v>114.03981332530951</c:v>
                </c:pt>
                <c:pt idx="27">
                  <c:v>135.71680263507906</c:v>
                </c:pt>
                <c:pt idx="28">
                  <c:v>159.27874753700252</c:v>
                </c:pt>
                <c:pt idx="29">
                  <c:v>184.7256480310798</c:v>
                </c:pt>
                <c:pt idx="30">
                  <c:v>212.05750411731103</c:v>
                </c:pt>
                <c:pt idx="31">
                  <c:v>376.99111843077515</c:v>
                </c:pt>
              </c:numCache>
            </c:numRef>
          </c:yVal>
          <c:smooth val="1"/>
          <c:extLst>
            <c:ext xmlns:c16="http://schemas.microsoft.com/office/drawing/2014/chart" uri="{C3380CC4-5D6E-409C-BE32-E72D297353CC}">
              <c16:uniqueId val="{00000007-6FB2-41E3-B9E2-82E5FAB4D102}"/>
            </c:ext>
          </c:extLst>
        </c:ser>
        <c:dLbls>
          <c:showLegendKey val="0"/>
          <c:showVal val="0"/>
          <c:showCatName val="0"/>
          <c:showSerName val="0"/>
          <c:showPercent val="0"/>
          <c:showBubbleSize val="0"/>
        </c:dLbls>
        <c:axId val="107618688"/>
        <c:axId val="107620608"/>
      </c:scatterChart>
      <c:valAx>
        <c:axId val="107618688"/>
        <c:scaling>
          <c:orientation val="minMax"/>
          <c:max val="200"/>
          <c:min val="40"/>
        </c:scaling>
        <c:delete val="0"/>
        <c:axPos val="b"/>
        <c:majorGridlines>
          <c:spPr>
            <a:ln w="3175">
              <a:solidFill>
                <a:srgbClr val="000000"/>
              </a:solidFill>
              <a:prstDash val="sysDash"/>
            </a:ln>
          </c:spPr>
        </c:majorGridlines>
        <c:title>
          <c:tx>
            <c:rich>
              <a:bodyPr/>
              <a:lstStyle/>
              <a:p>
                <a:pPr>
                  <a:defRPr sz="1150" b="0" i="0" u="none" strike="noStrike" baseline="0">
                    <a:solidFill>
                      <a:srgbClr val="000000"/>
                    </a:solidFill>
                    <a:latin typeface="Arial"/>
                    <a:ea typeface="Arial"/>
                    <a:cs typeface="Arial"/>
                  </a:defRPr>
                </a:pPr>
                <a:r>
                  <a:rPr lang="it-IT"/>
                  <a:t>Diametro (cm)</a:t>
                </a:r>
              </a:p>
            </c:rich>
          </c:tx>
          <c:layout>
            <c:manualLayout>
              <c:xMode val="edge"/>
              <c:yMode val="edge"/>
              <c:x val="0.37384194064349552"/>
              <c:y val="0.952186200188663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it-IT"/>
          </a:p>
        </c:txPr>
        <c:crossAx val="107620608"/>
        <c:crosses val="autoZero"/>
        <c:crossBetween val="midCat"/>
        <c:majorUnit val="20"/>
      </c:valAx>
      <c:valAx>
        <c:axId val="107620608"/>
        <c:scaling>
          <c:orientation val="minMax"/>
        </c:scaling>
        <c:delete val="0"/>
        <c:axPos val="l"/>
        <c:majorGridlines>
          <c:spPr>
            <a:ln w="3175">
              <a:solidFill>
                <a:srgbClr val="000000"/>
              </a:solidFill>
              <a:prstDash val="sysDash"/>
            </a:ln>
          </c:spPr>
        </c:majorGridlines>
        <c:title>
          <c:tx>
            <c:rich>
              <a:bodyPr/>
              <a:lstStyle/>
              <a:p>
                <a:pPr>
                  <a:defRPr sz="1150" b="0" i="0" u="none" strike="noStrike" baseline="0">
                    <a:solidFill>
                      <a:srgbClr val="000000"/>
                    </a:solidFill>
                    <a:latin typeface="Arial"/>
                    <a:ea typeface="Arial"/>
                    <a:cs typeface="Arial"/>
                  </a:defRPr>
                </a:pPr>
                <a:r>
                  <a:rPr lang="it-IT"/>
                  <a:t>Massa (q)</a:t>
                </a:r>
              </a:p>
            </c:rich>
          </c:tx>
          <c:layout>
            <c:manualLayout>
              <c:xMode val="edge"/>
              <c:yMode val="edge"/>
              <c:x val="1.1160726449940794E-2"/>
              <c:y val="0.296297367973697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it-IT"/>
          </a:p>
        </c:txPr>
        <c:crossAx val="107618688"/>
        <c:crosses val="autoZero"/>
        <c:crossBetween val="midCat"/>
      </c:valAx>
      <c:spPr>
        <a:solidFill>
          <a:srgbClr val="FFFFFF"/>
        </a:solidFill>
        <a:ln w="12700">
          <a:solidFill>
            <a:srgbClr val="000000"/>
          </a:solidFill>
          <a:prstDash val="solid"/>
        </a:ln>
      </c:spPr>
    </c:plotArea>
    <c:legend>
      <c:legendPos val="r"/>
      <c:layout>
        <c:manualLayout>
          <c:xMode val="edge"/>
          <c:yMode val="edge"/>
          <c:x val="0.82366161200563004"/>
          <c:y val="0.23703789437895825"/>
          <c:w val="0.15401802500918271"/>
          <c:h val="0.6851876634391780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it-IT"/>
    </a:p>
  </c:txPr>
  <c:printSettings>
    <c:headerFooter alignWithMargins="0"/>
    <c:pageMargins b="1" l="0.75000000000000144" r="0.75000000000000144"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94660616913559"/>
          <c:y val="6.2963190694410823E-2"/>
          <c:w val="0.73952282604018915"/>
          <c:h val="0.82247548003867965"/>
        </c:manualLayout>
      </c:layout>
      <c:scatterChart>
        <c:scatterStyle val="smoothMarker"/>
        <c:varyColors val="0"/>
        <c:ser>
          <c:idx val="1"/>
          <c:order val="0"/>
          <c:tx>
            <c:strRef>
              <c:f>massa!$C$9</c:f>
              <c:strCache>
                <c:ptCount val="1"/>
                <c:pt idx="0">
                  <c:v>500</c:v>
                </c:pt>
              </c:strCache>
            </c:strRef>
          </c:tx>
          <c:spPr>
            <a:ln w="38100">
              <a:solidFill>
                <a:srgbClr val="C000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massa!$C$10:$C$41</c:f>
              <c:numCache>
                <c:formatCode>0.0</c:formatCode>
                <c:ptCount val="32"/>
                <c:pt idx="0">
                  <c:v>0.39269908169872414</c:v>
                </c:pt>
                <c:pt idx="1">
                  <c:v>0.56548667764616267</c:v>
                </c:pt>
                <c:pt idx="2">
                  <c:v>0.7696902001294994</c:v>
                </c:pt>
                <c:pt idx="3">
                  <c:v>1.0053096491487337</c:v>
                </c:pt>
                <c:pt idx="4">
                  <c:v>1.2723450247038661</c:v>
                </c:pt>
                <c:pt idx="5">
                  <c:v>1.5707963267948966</c:v>
                </c:pt>
                <c:pt idx="6">
                  <c:v>2.0773781421862507</c:v>
                </c:pt>
                <c:pt idx="7">
                  <c:v>2.6546457922833753</c:v>
                </c:pt>
                <c:pt idx="8">
                  <c:v>3.3025992770862702</c:v>
                </c:pt>
                <c:pt idx="9">
                  <c:v>4.0212385965949347</c:v>
                </c:pt>
                <c:pt idx="10">
                  <c:v>4.8105637508093704</c:v>
                </c:pt>
                <c:pt idx="11">
                  <c:v>5.6705747397295774</c:v>
                </c:pt>
                <c:pt idx="12">
                  <c:v>6.6012715633555512</c:v>
                </c:pt>
                <c:pt idx="13">
                  <c:v>7.6026542216872999</c:v>
                </c:pt>
                <c:pt idx="14">
                  <c:v>8.6747227147248154</c:v>
                </c:pt>
                <c:pt idx="15">
                  <c:v>9.8174770424681039</c:v>
                </c:pt>
                <c:pt idx="16">
                  <c:v>11.879147221386409</c:v>
                </c:pt>
                <c:pt idx="17">
                  <c:v>14.137166941154069</c:v>
                </c:pt>
                <c:pt idx="18">
                  <c:v>16.591536201771095</c:v>
                </c:pt>
                <c:pt idx="19">
                  <c:v>19.242255003237482</c:v>
                </c:pt>
                <c:pt idx="20">
                  <c:v>22.089323345553236</c:v>
                </c:pt>
                <c:pt idx="21">
                  <c:v>25.132741228718345</c:v>
                </c:pt>
                <c:pt idx="22">
                  <c:v>28.372508652732812</c:v>
                </c:pt>
                <c:pt idx="23">
                  <c:v>31.808625617596658</c:v>
                </c:pt>
                <c:pt idx="24">
                  <c:v>35.441092123309858</c:v>
                </c:pt>
                <c:pt idx="25">
                  <c:v>39.269908169872416</c:v>
                </c:pt>
                <c:pt idx="26">
                  <c:v>47.516588885545637</c:v>
                </c:pt>
                <c:pt idx="27">
                  <c:v>56.548667764616276</c:v>
                </c:pt>
                <c:pt idx="28">
                  <c:v>66.366144807084382</c:v>
                </c:pt>
                <c:pt idx="29">
                  <c:v>76.969020012949926</c:v>
                </c:pt>
                <c:pt idx="30">
                  <c:v>88.357293382212944</c:v>
                </c:pt>
                <c:pt idx="31">
                  <c:v>157.07963267948966</c:v>
                </c:pt>
              </c:numCache>
            </c:numRef>
          </c:yVal>
          <c:smooth val="1"/>
          <c:extLst>
            <c:ext xmlns:c16="http://schemas.microsoft.com/office/drawing/2014/chart" uri="{C3380CC4-5D6E-409C-BE32-E72D297353CC}">
              <c16:uniqueId val="{00000000-8394-4B4D-9170-F444ABB23B15}"/>
            </c:ext>
          </c:extLst>
        </c:ser>
        <c:ser>
          <c:idx val="2"/>
          <c:order val="1"/>
          <c:tx>
            <c:strRef>
              <c:f>massa!$D$9</c:f>
              <c:strCache>
                <c:ptCount val="1"/>
                <c:pt idx="0">
                  <c:v>600</c:v>
                </c:pt>
              </c:strCache>
            </c:strRef>
          </c:tx>
          <c:spPr>
            <a:ln w="19050">
              <a:solidFill>
                <a:srgbClr val="FF00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massa!$D$10:$D$41</c:f>
              <c:numCache>
                <c:formatCode>0.0</c:formatCode>
                <c:ptCount val="32"/>
                <c:pt idx="0">
                  <c:v>0.47123889803846891</c:v>
                </c:pt>
                <c:pt idx="1">
                  <c:v>0.67858401317539518</c:v>
                </c:pt>
                <c:pt idx="2">
                  <c:v>0.92362824015539924</c:v>
                </c:pt>
                <c:pt idx="3">
                  <c:v>1.2063715789784804</c:v>
                </c:pt>
                <c:pt idx="4">
                  <c:v>1.5268140296446393</c:v>
                </c:pt>
                <c:pt idx="5">
                  <c:v>1.8849555921538756</c:v>
                </c:pt>
                <c:pt idx="6">
                  <c:v>2.4928537706235012</c:v>
                </c:pt>
                <c:pt idx="7">
                  <c:v>3.1855749507400501</c:v>
                </c:pt>
                <c:pt idx="8">
                  <c:v>3.963119132503524</c:v>
                </c:pt>
                <c:pt idx="9">
                  <c:v>4.8254863159139214</c:v>
                </c:pt>
                <c:pt idx="10">
                  <c:v>5.7726765009712437</c:v>
                </c:pt>
                <c:pt idx="11">
                  <c:v>6.8046896876754923</c:v>
                </c:pt>
                <c:pt idx="12">
                  <c:v>7.9215258760266609</c:v>
                </c:pt>
                <c:pt idx="13">
                  <c:v>9.1231850660247602</c:v>
                </c:pt>
                <c:pt idx="14">
                  <c:v>10.409667257669778</c:v>
                </c:pt>
                <c:pt idx="15">
                  <c:v>11.780972450961723</c:v>
                </c:pt>
                <c:pt idx="16">
                  <c:v>14.254976665663689</c:v>
                </c:pt>
                <c:pt idx="17">
                  <c:v>16.964600329384883</c:v>
                </c:pt>
                <c:pt idx="18">
                  <c:v>19.909843442125315</c:v>
                </c:pt>
                <c:pt idx="19">
                  <c:v>23.090706003884975</c:v>
                </c:pt>
                <c:pt idx="20">
                  <c:v>26.507188014663878</c:v>
                </c:pt>
                <c:pt idx="21">
                  <c:v>30.15928947446201</c:v>
                </c:pt>
                <c:pt idx="22">
                  <c:v>34.047010383279378</c:v>
                </c:pt>
                <c:pt idx="23">
                  <c:v>38.170350741115989</c:v>
                </c:pt>
                <c:pt idx="24">
                  <c:v>42.529310547971825</c:v>
                </c:pt>
                <c:pt idx="25">
                  <c:v>47.123889803846893</c:v>
                </c:pt>
                <c:pt idx="26">
                  <c:v>57.019906662654755</c:v>
                </c:pt>
                <c:pt idx="27">
                  <c:v>67.858401317539531</c:v>
                </c:pt>
                <c:pt idx="28">
                  <c:v>79.639373768501258</c:v>
                </c:pt>
                <c:pt idx="29">
                  <c:v>92.3628240155399</c:v>
                </c:pt>
                <c:pt idx="30">
                  <c:v>106.02875205865551</c:v>
                </c:pt>
                <c:pt idx="31">
                  <c:v>188.49555921538757</c:v>
                </c:pt>
              </c:numCache>
            </c:numRef>
          </c:yVal>
          <c:smooth val="1"/>
          <c:extLst>
            <c:ext xmlns:c16="http://schemas.microsoft.com/office/drawing/2014/chart" uri="{C3380CC4-5D6E-409C-BE32-E72D297353CC}">
              <c16:uniqueId val="{00000001-8394-4B4D-9170-F444ABB23B15}"/>
            </c:ext>
          </c:extLst>
        </c:ser>
        <c:ser>
          <c:idx val="3"/>
          <c:order val="2"/>
          <c:tx>
            <c:strRef>
              <c:f>massa!$E$9</c:f>
              <c:strCache>
                <c:ptCount val="1"/>
                <c:pt idx="0">
                  <c:v>700</c:v>
                </c:pt>
              </c:strCache>
            </c:strRef>
          </c:tx>
          <c:spPr>
            <a:ln w="19050">
              <a:solidFill>
                <a:srgbClr val="FFC0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massa!$E$10:$E$41</c:f>
              <c:numCache>
                <c:formatCode>0.0</c:formatCode>
                <c:ptCount val="32"/>
                <c:pt idx="0">
                  <c:v>0.5497787143782138</c:v>
                </c:pt>
                <c:pt idx="1">
                  <c:v>0.79168134870462781</c:v>
                </c:pt>
                <c:pt idx="2">
                  <c:v>1.0775662801812993</c:v>
                </c:pt>
                <c:pt idx="3">
                  <c:v>1.4074335088082273</c:v>
                </c:pt>
                <c:pt idx="4">
                  <c:v>1.7812830345854127</c:v>
                </c:pt>
                <c:pt idx="5">
                  <c:v>2.1991148575128552</c:v>
                </c:pt>
                <c:pt idx="6">
                  <c:v>2.9083293990607513</c:v>
                </c:pt>
                <c:pt idx="7">
                  <c:v>3.7165041091967259</c:v>
                </c:pt>
                <c:pt idx="8">
                  <c:v>4.6236389879207778</c:v>
                </c:pt>
                <c:pt idx="9">
                  <c:v>5.6297340352329091</c:v>
                </c:pt>
                <c:pt idx="10">
                  <c:v>6.734789251133118</c:v>
                </c:pt>
                <c:pt idx="11">
                  <c:v>7.9388046356214081</c:v>
                </c:pt>
                <c:pt idx="12">
                  <c:v>9.2417801886977706</c:v>
                </c:pt>
                <c:pt idx="13">
                  <c:v>10.643715910362218</c:v>
                </c:pt>
                <c:pt idx="14">
                  <c:v>12.144611800614742</c:v>
                </c:pt>
                <c:pt idx="15">
                  <c:v>13.744467859455344</c:v>
                </c:pt>
                <c:pt idx="16">
                  <c:v>16.63080610994097</c:v>
                </c:pt>
                <c:pt idx="17">
                  <c:v>19.792033717615698</c:v>
                </c:pt>
                <c:pt idx="18">
                  <c:v>23.22815068247953</c:v>
                </c:pt>
                <c:pt idx="19">
                  <c:v>26.939157004532472</c:v>
                </c:pt>
                <c:pt idx="20">
                  <c:v>30.925052683774524</c:v>
                </c:pt>
                <c:pt idx="21">
                  <c:v>35.185837720205683</c:v>
                </c:pt>
                <c:pt idx="22">
                  <c:v>39.721512113825945</c:v>
                </c:pt>
                <c:pt idx="23">
                  <c:v>44.532075864635317</c:v>
                </c:pt>
                <c:pt idx="24">
                  <c:v>49.617528972633799</c:v>
                </c:pt>
                <c:pt idx="25">
                  <c:v>54.977871437821378</c:v>
                </c:pt>
                <c:pt idx="26">
                  <c:v>66.523224439763879</c:v>
                </c:pt>
                <c:pt idx="27">
                  <c:v>79.168134870462794</c:v>
                </c:pt>
                <c:pt idx="28">
                  <c:v>92.91260272991812</c:v>
                </c:pt>
                <c:pt idx="29">
                  <c:v>107.75662801812989</c:v>
                </c:pt>
                <c:pt idx="30">
                  <c:v>123.7002107350981</c:v>
                </c:pt>
                <c:pt idx="31">
                  <c:v>219.91148575128551</c:v>
                </c:pt>
              </c:numCache>
            </c:numRef>
          </c:yVal>
          <c:smooth val="1"/>
          <c:extLst>
            <c:ext xmlns:c16="http://schemas.microsoft.com/office/drawing/2014/chart" uri="{C3380CC4-5D6E-409C-BE32-E72D297353CC}">
              <c16:uniqueId val="{00000002-8394-4B4D-9170-F444ABB23B15}"/>
            </c:ext>
          </c:extLst>
        </c:ser>
        <c:ser>
          <c:idx val="4"/>
          <c:order val="3"/>
          <c:tx>
            <c:strRef>
              <c:f>massa!$F$9</c:f>
              <c:strCache>
                <c:ptCount val="1"/>
                <c:pt idx="0">
                  <c:v>800</c:v>
                </c:pt>
              </c:strCache>
            </c:strRef>
          </c:tx>
          <c:spPr>
            <a:ln w="19050">
              <a:solidFill>
                <a:srgbClr val="FFFF0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massa!$F$10:$F$41</c:f>
              <c:numCache>
                <c:formatCode>0.0</c:formatCode>
                <c:ptCount val="32"/>
                <c:pt idx="0">
                  <c:v>0.62831853071795862</c:v>
                </c:pt>
                <c:pt idx="1">
                  <c:v>0.90477868423386032</c:v>
                </c:pt>
                <c:pt idx="2">
                  <c:v>1.2315043202071991</c:v>
                </c:pt>
                <c:pt idx="3">
                  <c:v>1.6084954386379742</c:v>
                </c:pt>
                <c:pt idx="4">
                  <c:v>2.0357520395261859</c:v>
                </c:pt>
                <c:pt idx="5">
                  <c:v>2.5132741228718345</c:v>
                </c:pt>
                <c:pt idx="6">
                  <c:v>3.3238050274980013</c:v>
                </c:pt>
                <c:pt idx="7">
                  <c:v>4.2474332676534008</c:v>
                </c:pt>
                <c:pt idx="8">
                  <c:v>5.284158843338032</c:v>
                </c:pt>
                <c:pt idx="9">
                  <c:v>6.4339817545518967</c:v>
                </c:pt>
                <c:pt idx="10">
                  <c:v>7.6969020012949922</c:v>
                </c:pt>
                <c:pt idx="11">
                  <c:v>9.0729195835673231</c:v>
                </c:pt>
                <c:pt idx="12">
                  <c:v>10.562034501368879</c:v>
                </c:pt>
                <c:pt idx="13">
                  <c:v>12.164246754699679</c:v>
                </c:pt>
                <c:pt idx="14">
                  <c:v>13.879556343559704</c:v>
                </c:pt>
                <c:pt idx="15">
                  <c:v>15.707963267948964</c:v>
                </c:pt>
                <c:pt idx="16">
                  <c:v>19.006635554218253</c:v>
                </c:pt>
                <c:pt idx="17">
                  <c:v>22.61946710584651</c:v>
                </c:pt>
                <c:pt idx="18">
                  <c:v>26.546457922833753</c:v>
                </c:pt>
                <c:pt idx="19">
                  <c:v>30.787608005179969</c:v>
                </c:pt>
                <c:pt idx="20">
                  <c:v>35.342917352885173</c:v>
                </c:pt>
                <c:pt idx="21">
                  <c:v>40.212385965949352</c:v>
                </c:pt>
                <c:pt idx="22">
                  <c:v>45.396013844372504</c:v>
                </c:pt>
                <c:pt idx="23">
                  <c:v>50.893800988154652</c:v>
                </c:pt>
                <c:pt idx="24">
                  <c:v>56.705747397295767</c:v>
                </c:pt>
                <c:pt idx="25">
                  <c:v>62.831853071795855</c:v>
                </c:pt>
                <c:pt idx="26">
                  <c:v>76.026542216873011</c:v>
                </c:pt>
                <c:pt idx="27">
                  <c:v>90.477868423386042</c:v>
                </c:pt>
                <c:pt idx="28">
                  <c:v>106.18583169133501</c:v>
                </c:pt>
                <c:pt idx="29">
                  <c:v>123.15043202071988</c:v>
                </c:pt>
                <c:pt idx="30">
                  <c:v>141.37166941154069</c:v>
                </c:pt>
                <c:pt idx="31">
                  <c:v>251.32741228718342</c:v>
                </c:pt>
              </c:numCache>
            </c:numRef>
          </c:yVal>
          <c:smooth val="1"/>
          <c:extLst>
            <c:ext xmlns:c16="http://schemas.microsoft.com/office/drawing/2014/chart" uri="{C3380CC4-5D6E-409C-BE32-E72D297353CC}">
              <c16:uniqueId val="{00000003-8394-4B4D-9170-F444ABB23B15}"/>
            </c:ext>
          </c:extLst>
        </c:ser>
        <c:ser>
          <c:idx val="5"/>
          <c:order val="4"/>
          <c:tx>
            <c:strRef>
              <c:f>massa!$G$9</c:f>
              <c:strCache>
                <c:ptCount val="1"/>
                <c:pt idx="0">
                  <c:v>900</c:v>
                </c:pt>
              </c:strCache>
            </c:strRef>
          </c:tx>
          <c:spPr>
            <a:ln w="19050">
              <a:solidFill>
                <a:srgbClr val="00B05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massa!$G$10:$G$41</c:f>
              <c:numCache>
                <c:formatCode>0.0</c:formatCode>
                <c:ptCount val="32"/>
                <c:pt idx="0">
                  <c:v>0.70685834705770345</c:v>
                </c:pt>
                <c:pt idx="1">
                  <c:v>1.0178760197630929</c:v>
                </c:pt>
                <c:pt idx="2">
                  <c:v>1.385442360233099</c:v>
                </c:pt>
                <c:pt idx="3">
                  <c:v>1.8095573684677209</c:v>
                </c:pt>
                <c:pt idx="4">
                  <c:v>2.2902210444669593</c:v>
                </c:pt>
                <c:pt idx="5">
                  <c:v>2.8274333882308138</c:v>
                </c:pt>
                <c:pt idx="6">
                  <c:v>3.7392806559352518</c:v>
                </c:pt>
                <c:pt idx="7">
                  <c:v>4.7783624261100757</c:v>
                </c:pt>
                <c:pt idx="8">
                  <c:v>5.9446786987552853</c:v>
                </c:pt>
                <c:pt idx="9">
                  <c:v>7.2382294738708834</c:v>
                </c:pt>
                <c:pt idx="10">
                  <c:v>8.6590147514568656</c:v>
                </c:pt>
                <c:pt idx="11">
                  <c:v>10.207034531513239</c:v>
                </c:pt>
                <c:pt idx="12">
                  <c:v>11.882288814039992</c:v>
                </c:pt>
                <c:pt idx="13">
                  <c:v>13.684777599037139</c:v>
                </c:pt>
                <c:pt idx="14">
                  <c:v>15.614500886504668</c:v>
                </c:pt>
                <c:pt idx="15">
                  <c:v>17.671458676442587</c:v>
                </c:pt>
                <c:pt idx="16">
                  <c:v>21.382464998495536</c:v>
                </c:pt>
                <c:pt idx="17">
                  <c:v>25.446900494077322</c:v>
                </c:pt>
                <c:pt idx="18">
                  <c:v>29.864765163187972</c:v>
                </c:pt>
                <c:pt idx="19">
                  <c:v>34.636059005827462</c:v>
                </c:pt>
                <c:pt idx="20">
                  <c:v>39.760782021995823</c:v>
                </c:pt>
                <c:pt idx="21">
                  <c:v>45.238934211693021</c:v>
                </c:pt>
                <c:pt idx="22">
                  <c:v>51.070515574919064</c:v>
                </c:pt>
                <c:pt idx="23">
                  <c:v>57.25552611167398</c:v>
                </c:pt>
                <c:pt idx="24">
                  <c:v>63.793965821957734</c:v>
                </c:pt>
                <c:pt idx="25">
                  <c:v>70.685834705770347</c:v>
                </c:pt>
                <c:pt idx="26">
                  <c:v>85.529859993982143</c:v>
                </c:pt>
                <c:pt idx="27">
                  <c:v>101.78760197630929</c:v>
                </c:pt>
                <c:pt idx="28">
                  <c:v>119.45906065275189</c:v>
                </c:pt>
                <c:pt idx="29">
                  <c:v>138.54423602330985</c:v>
                </c:pt>
                <c:pt idx="30">
                  <c:v>159.04312808798329</c:v>
                </c:pt>
                <c:pt idx="31">
                  <c:v>282.74333882308139</c:v>
                </c:pt>
              </c:numCache>
            </c:numRef>
          </c:yVal>
          <c:smooth val="1"/>
          <c:extLst>
            <c:ext xmlns:c16="http://schemas.microsoft.com/office/drawing/2014/chart" uri="{C3380CC4-5D6E-409C-BE32-E72D297353CC}">
              <c16:uniqueId val="{00000004-8394-4B4D-9170-F444ABB23B15}"/>
            </c:ext>
          </c:extLst>
        </c:ser>
        <c:ser>
          <c:idx val="6"/>
          <c:order val="5"/>
          <c:tx>
            <c:strRef>
              <c:f>massa!$H$9</c:f>
              <c:strCache>
                <c:ptCount val="1"/>
                <c:pt idx="0">
                  <c:v>1000</c:v>
                </c:pt>
              </c:strCache>
            </c:strRef>
          </c:tx>
          <c:spPr>
            <a:ln w="38100">
              <a:solidFill>
                <a:srgbClr val="0070C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massa!$H$10:$H$41</c:f>
              <c:numCache>
                <c:formatCode>0.0</c:formatCode>
                <c:ptCount val="32"/>
                <c:pt idx="0">
                  <c:v>0.78539816339744828</c:v>
                </c:pt>
                <c:pt idx="1">
                  <c:v>1.1309733552923253</c:v>
                </c:pt>
                <c:pt idx="2">
                  <c:v>1.5393804002589988</c:v>
                </c:pt>
                <c:pt idx="3">
                  <c:v>2.0106192982974673</c:v>
                </c:pt>
                <c:pt idx="4">
                  <c:v>2.5446900494077322</c:v>
                </c:pt>
                <c:pt idx="5">
                  <c:v>3.1415926535897931</c:v>
                </c:pt>
                <c:pt idx="6">
                  <c:v>4.1547562843725014</c:v>
                </c:pt>
                <c:pt idx="7">
                  <c:v>5.3092915845667505</c:v>
                </c:pt>
                <c:pt idx="8">
                  <c:v>6.6051985541725404</c:v>
                </c:pt>
                <c:pt idx="9">
                  <c:v>8.0424771931898693</c:v>
                </c:pt>
                <c:pt idx="10">
                  <c:v>9.6211275016187408</c:v>
                </c:pt>
                <c:pt idx="11">
                  <c:v>11.341149479459155</c:v>
                </c:pt>
                <c:pt idx="12">
                  <c:v>13.202543126711102</c:v>
                </c:pt>
                <c:pt idx="13">
                  <c:v>15.2053084433746</c:v>
                </c:pt>
                <c:pt idx="14">
                  <c:v>17.349445429449631</c:v>
                </c:pt>
                <c:pt idx="15">
                  <c:v>19.634954084936208</c:v>
                </c:pt>
                <c:pt idx="16">
                  <c:v>23.758294442772819</c:v>
                </c:pt>
                <c:pt idx="17">
                  <c:v>28.274333882308138</c:v>
                </c:pt>
                <c:pt idx="18">
                  <c:v>33.183072403542191</c:v>
                </c:pt>
                <c:pt idx="19">
                  <c:v>38.484510006474963</c:v>
                </c:pt>
                <c:pt idx="20">
                  <c:v>44.178646691106472</c:v>
                </c:pt>
                <c:pt idx="21">
                  <c:v>50.26548245743669</c:v>
                </c:pt>
                <c:pt idx="22">
                  <c:v>56.745017305465623</c:v>
                </c:pt>
                <c:pt idx="23">
                  <c:v>63.617251235193315</c:v>
                </c:pt>
                <c:pt idx="24">
                  <c:v>70.882184246619715</c:v>
                </c:pt>
                <c:pt idx="25">
                  <c:v>78.539816339744831</c:v>
                </c:pt>
                <c:pt idx="26">
                  <c:v>95.033177771091275</c:v>
                </c:pt>
                <c:pt idx="27">
                  <c:v>113.09733552923255</c:v>
                </c:pt>
                <c:pt idx="28">
                  <c:v>132.73228961416876</c:v>
                </c:pt>
                <c:pt idx="29">
                  <c:v>153.93804002589985</c:v>
                </c:pt>
                <c:pt idx="30">
                  <c:v>176.71458676442589</c:v>
                </c:pt>
                <c:pt idx="31">
                  <c:v>314.15926535897933</c:v>
                </c:pt>
              </c:numCache>
            </c:numRef>
          </c:yVal>
          <c:smooth val="1"/>
          <c:extLst>
            <c:ext xmlns:c16="http://schemas.microsoft.com/office/drawing/2014/chart" uri="{C3380CC4-5D6E-409C-BE32-E72D297353CC}">
              <c16:uniqueId val="{00000005-8394-4B4D-9170-F444ABB23B15}"/>
            </c:ext>
          </c:extLst>
        </c:ser>
        <c:ser>
          <c:idx val="7"/>
          <c:order val="6"/>
          <c:tx>
            <c:strRef>
              <c:f>massa!$I$9</c:f>
              <c:strCache>
                <c:ptCount val="1"/>
                <c:pt idx="0">
                  <c:v>1100</c:v>
                </c:pt>
              </c:strCache>
            </c:strRef>
          </c:tx>
          <c:spPr>
            <a:ln w="19050">
              <a:solidFill>
                <a:srgbClr val="7030A0"/>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massa!$I$10:$I$41</c:f>
              <c:numCache>
                <c:formatCode>0.0</c:formatCode>
                <c:ptCount val="32"/>
                <c:pt idx="0">
                  <c:v>0.86393797973719311</c:v>
                </c:pt>
                <c:pt idx="1">
                  <c:v>1.244070690821558</c:v>
                </c:pt>
                <c:pt idx="2">
                  <c:v>1.6933184402848989</c:v>
                </c:pt>
                <c:pt idx="3">
                  <c:v>2.211681228127214</c:v>
                </c:pt>
                <c:pt idx="4">
                  <c:v>2.7991590543485056</c:v>
                </c:pt>
                <c:pt idx="5">
                  <c:v>3.4557519189487724</c:v>
                </c:pt>
                <c:pt idx="6">
                  <c:v>4.5702319128097519</c:v>
                </c:pt>
                <c:pt idx="7">
                  <c:v>5.8402207430234263</c:v>
                </c:pt>
                <c:pt idx="8">
                  <c:v>7.2657184095897938</c:v>
                </c:pt>
                <c:pt idx="9">
                  <c:v>8.8467249125088561</c:v>
                </c:pt>
                <c:pt idx="10">
                  <c:v>10.583240251780614</c:v>
                </c:pt>
                <c:pt idx="11">
                  <c:v>12.475264427405071</c:v>
                </c:pt>
                <c:pt idx="12">
                  <c:v>14.522797439382211</c:v>
                </c:pt>
                <c:pt idx="13">
                  <c:v>16.725839287712059</c:v>
                </c:pt>
                <c:pt idx="14">
                  <c:v>19.084389972394593</c:v>
                </c:pt>
                <c:pt idx="15">
                  <c:v>21.598449493429825</c:v>
                </c:pt>
                <c:pt idx="16">
                  <c:v>26.134123887050094</c:v>
                </c:pt>
                <c:pt idx="17">
                  <c:v>31.101767270538954</c:v>
                </c:pt>
                <c:pt idx="18">
                  <c:v>36.501379643896414</c:v>
                </c:pt>
                <c:pt idx="19">
                  <c:v>42.332961007122456</c:v>
                </c:pt>
                <c:pt idx="20">
                  <c:v>48.596511360217107</c:v>
                </c:pt>
                <c:pt idx="21">
                  <c:v>55.292030703180359</c:v>
                </c:pt>
                <c:pt idx="22">
                  <c:v>62.419519036012197</c:v>
                </c:pt>
                <c:pt idx="23">
                  <c:v>69.978976358712643</c:v>
                </c:pt>
                <c:pt idx="24">
                  <c:v>77.970402671281676</c:v>
                </c:pt>
                <c:pt idx="25">
                  <c:v>86.393797973719302</c:v>
                </c:pt>
                <c:pt idx="26">
                  <c:v>104.53649554820038</c:v>
                </c:pt>
                <c:pt idx="27">
                  <c:v>124.40706908215581</c:v>
                </c:pt>
                <c:pt idx="28">
                  <c:v>146.00551857558565</c:v>
                </c:pt>
                <c:pt idx="29">
                  <c:v>169.33184402848983</c:v>
                </c:pt>
                <c:pt idx="30">
                  <c:v>194.38604544086843</c:v>
                </c:pt>
                <c:pt idx="31">
                  <c:v>345.57519189487721</c:v>
                </c:pt>
              </c:numCache>
            </c:numRef>
          </c:yVal>
          <c:smooth val="1"/>
          <c:extLst>
            <c:ext xmlns:c16="http://schemas.microsoft.com/office/drawing/2014/chart" uri="{C3380CC4-5D6E-409C-BE32-E72D297353CC}">
              <c16:uniqueId val="{00000006-8394-4B4D-9170-F444ABB23B15}"/>
            </c:ext>
          </c:extLst>
        </c:ser>
        <c:ser>
          <c:idx val="8"/>
          <c:order val="7"/>
          <c:tx>
            <c:strRef>
              <c:f>massa!$J$9</c:f>
              <c:strCache>
                <c:ptCount val="1"/>
                <c:pt idx="0">
                  <c:v>1200</c:v>
                </c:pt>
              </c:strCache>
            </c:strRef>
          </c:tx>
          <c:spPr>
            <a:ln w="38100">
              <a:solidFill>
                <a:schemeClr val="tx1"/>
              </a:solidFill>
              <a:prstDash val="solid"/>
            </a:ln>
          </c:spPr>
          <c:marker>
            <c:symbol val="none"/>
          </c:marker>
          <c:xVal>
            <c:numRef>
              <c:f>massa!$B$10:$B$41</c:f>
              <c:numCache>
                <c:formatCode>General</c:formatCode>
                <c:ptCount val="32"/>
                <c:pt idx="0">
                  <c:v>10</c:v>
                </c:pt>
                <c:pt idx="1">
                  <c:v>12</c:v>
                </c:pt>
                <c:pt idx="2">
                  <c:v>14</c:v>
                </c:pt>
                <c:pt idx="3">
                  <c:v>16</c:v>
                </c:pt>
                <c:pt idx="4">
                  <c:v>18</c:v>
                </c:pt>
                <c:pt idx="5">
                  <c:v>20</c:v>
                </c:pt>
                <c:pt idx="6">
                  <c:v>23</c:v>
                </c:pt>
                <c:pt idx="7">
                  <c:v>26</c:v>
                </c:pt>
                <c:pt idx="8">
                  <c:v>29</c:v>
                </c:pt>
                <c:pt idx="9">
                  <c:v>32</c:v>
                </c:pt>
                <c:pt idx="10">
                  <c:v>35</c:v>
                </c:pt>
                <c:pt idx="11">
                  <c:v>38</c:v>
                </c:pt>
                <c:pt idx="12">
                  <c:v>41</c:v>
                </c:pt>
                <c:pt idx="13">
                  <c:v>44</c:v>
                </c:pt>
                <c:pt idx="14">
                  <c:v>47</c:v>
                </c:pt>
                <c:pt idx="15">
                  <c:v>50</c:v>
                </c:pt>
                <c:pt idx="16">
                  <c:v>55</c:v>
                </c:pt>
                <c:pt idx="17">
                  <c:v>60</c:v>
                </c:pt>
                <c:pt idx="18">
                  <c:v>65</c:v>
                </c:pt>
                <c:pt idx="19">
                  <c:v>70</c:v>
                </c:pt>
                <c:pt idx="20">
                  <c:v>75</c:v>
                </c:pt>
                <c:pt idx="21">
                  <c:v>80</c:v>
                </c:pt>
                <c:pt idx="22">
                  <c:v>85</c:v>
                </c:pt>
                <c:pt idx="23">
                  <c:v>90</c:v>
                </c:pt>
                <c:pt idx="24">
                  <c:v>95</c:v>
                </c:pt>
                <c:pt idx="25">
                  <c:v>100</c:v>
                </c:pt>
                <c:pt idx="26">
                  <c:v>110</c:v>
                </c:pt>
                <c:pt idx="27">
                  <c:v>120</c:v>
                </c:pt>
                <c:pt idx="28">
                  <c:v>130</c:v>
                </c:pt>
                <c:pt idx="29">
                  <c:v>140</c:v>
                </c:pt>
                <c:pt idx="30">
                  <c:v>150</c:v>
                </c:pt>
                <c:pt idx="31">
                  <c:v>200</c:v>
                </c:pt>
              </c:numCache>
            </c:numRef>
          </c:xVal>
          <c:yVal>
            <c:numRef>
              <c:f>massa!$J$10:$J$41</c:f>
              <c:numCache>
                <c:formatCode>0.0</c:formatCode>
                <c:ptCount val="32"/>
                <c:pt idx="0">
                  <c:v>0.94247779607693782</c:v>
                </c:pt>
                <c:pt idx="1">
                  <c:v>1.3571680263507904</c:v>
                </c:pt>
                <c:pt idx="2">
                  <c:v>1.8472564803107985</c:v>
                </c:pt>
                <c:pt idx="3">
                  <c:v>2.4127431579569607</c:v>
                </c:pt>
                <c:pt idx="4">
                  <c:v>3.0536280592892786</c:v>
                </c:pt>
                <c:pt idx="5">
                  <c:v>3.7699111843077513</c:v>
                </c:pt>
                <c:pt idx="6">
                  <c:v>4.9857075412470024</c:v>
                </c:pt>
                <c:pt idx="7">
                  <c:v>6.3711499014801003</c:v>
                </c:pt>
                <c:pt idx="8">
                  <c:v>7.926238265007048</c:v>
                </c:pt>
                <c:pt idx="9">
                  <c:v>9.6509726318278428</c:v>
                </c:pt>
                <c:pt idx="10">
                  <c:v>11.545353001942487</c:v>
                </c:pt>
                <c:pt idx="11">
                  <c:v>13.609379375350985</c:v>
                </c:pt>
                <c:pt idx="12">
                  <c:v>15.843051752053322</c:v>
                </c:pt>
                <c:pt idx="13">
                  <c:v>18.24637013204952</c:v>
                </c:pt>
                <c:pt idx="14">
                  <c:v>20.819334515339555</c:v>
                </c:pt>
                <c:pt idx="15">
                  <c:v>23.561944901923447</c:v>
                </c:pt>
                <c:pt idx="16">
                  <c:v>28.509953331327377</c:v>
                </c:pt>
                <c:pt idx="17">
                  <c:v>33.929200658769766</c:v>
                </c:pt>
                <c:pt idx="18">
                  <c:v>39.819686884250629</c:v>
                </c:pt>
                <c:pt idx="19">
                  <c:v>46.18141200776995</c:v>
                </c:pt>
                <c:pt idx="20">
                  <c:v>53.014376029327757</c:v>
                </c:pt>
                <c:pt idx="21">
                  <c:v>60.318578948924021</c:v>
                </c:pt>
                <c:pt idx="22">
                  <c:v>68.094020766558756</c:v>
                </c:pt>
                <c:pt idx="23">
                  <c:v>76.340701482231978</c:v>
                </c:pt>
                <c:pt idx="24">
                  <c:v>85.05862109594365</c:v>
                </c:pt>
                <c:pt idx="25">
                  <c:v>94.247779607693786</c:v>
                </c:pt>
                <c:pt idx="26">
                  <c:v>114.03981332530951</c:v>
                </c:pt>
                <c:pt idx="27">
                  <c:v>135.71680263507906</c:v>
                </c:pt>
                <c:pt idx="28">
                  <c:v>159.27874753700252</c:v>
                </c:pt>
                <c:pt idx="29">
                  <c:v>184.7256480310798</c:v>
                </c:pt>
                <c:pt idx="30">
                  <c:v>212.05750411731103</c:v>
                </c:pt>
                <c:pt idx="31">
                  <c:v>376.99111843077515</c:v>
                </c:pt>
              </c:numCache>
            </c:numRef>
          </c:yVal>
          <c:smooth val="1"/>
          <c:extLst>
            <c:ext xmlns:c16="http://schemas.microsoft.com/office/drawing/2014/chart" uri="{C3380CC4-5D6E-409C-BE32-E72D297353CC}">
              <c16:uniqueId val="{00000007-8394-4B4D-9170-F444ABB23B15}"/>
            </c:ext>
          </c:extLst>
        </c:ser>
        <c:dLbls>
          <c:showLegendKey val="0"/>
          <c:showVal val="0"/>
          <c:showCatName val="0"/>
          <c:showSerName val="0"/>
          <c:showPercent val="0"/>
          <c:showBubbleSize val="0"/>
        </c:dLbls>
        <c:axId val="107720064"/>
        <c:axId val="108856448"/>
      </c:scatterChart>
      <c:valAx>
        <c:axId val="107720064"/>
        <c:scaling>
          <c:orientation val="minMax"/>
          <c:max val="50"/>
          <c:min val="10"/>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it-IT"/>
          </a:p>
        </c:txPr>
        <c:crossAx val="108856448"/>
        <c:crosses val="autoZero"/>
        <c:crossBetween val="midCat"/>
        <c:majorUnit val="5"/>
      </c:valAx>
      <c:valAx>
        <c:axId val="108856448"/>
        <c:scaling>
          <c:orientation val="minMax"/>
          <c:max val="25"/>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it-IT"/>
          </a:p>
        </c:txPr>
        <c:crossAx val="107720064"/>
        <c:crosses val="autoZero"/>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it-IT"/>
    </a:p>
  </c:txPr>
  <c:printSettings>
    <c:headerFooter alignWithMargins="0"/>
    <c:pageMargins b="1" l="0.75000000000000167" r="0.75000000000000167"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creativecommons.org/licenses/by-nd/3.0/deed.it" TargetMode="Externa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creativecommons.org/licenses/by-nd/3.0/deed.it" TargetMode="External"/><Relationship Id="rId1" Type="http://schemas.openxmlformats.org/officeDocument/2006/relationships/image" Target="../media/image3.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d/3.0/deed.it"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66675</xdr:colOff>
      <xdr:row>14</xdr:row>
      <xdr:rowOff>123825</xdr:rowOff>
    </xdr:from>
    <xdr:to>
      <xdr:col>13</xdr:col>
      <xdr:colOff>371475</xdr:colOff>
      <xdr:row>29</xdr:row>
      <xdr:rowOff>104775</xdr:rowOff>
    </xdr:to>
    <xdr:graphicFrame macro="">
      <xdr:nvGraphicFramePr>
        <xdr:cNvPr id="2" name="Gra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180975</xdr:colOff>
      <xdr:row>3</xdr:row>
      <xdr:rowOff>9525</xdr:rowOff>
    </xdr:from>
    <xdr:to>
      <xdr:col>14</xdr:col>
      <xdr:colOff>491490</xdr:colOff>
      <xdr:row>4</xdr:row>
      <xdr:rowOff>144780</xdr:rowOff>
    </xdr:to>
    <xdr:pic>
      <xdr:nvPicPr>
        <xdr:cNvPr id="7" name="Picture 10">
          <a:hlinkClick xmlns:r="http://schemas.openxmlformats.org/officeDocument/2006/relationships" r:id="rId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36255" y="756285"/>
          <a:ext cx="920115" cy="318135"/>
        </a:xfrm>
        <a:prstGeom prst="rect">
          <a:avLst/>
        </a:prstGeom>
        <a:noFill/>
        <a:ln w="1">
          <a:noFill/>
          <a:miter lim="800000"/>
          <a:headEnd/>
          <a:tailEnd/>
        </a:ln>
      </xdr:spPr>
    </xdr:pic>
    <xdr:clientData/>
  </xdr:twoCellAnchor>
  <xdr:twoCellAnchor>
    <xdr:from>
      <xdr:col>20</xdr:col>
      <xdr:colOff>47625</xdr:colOff>
      <xdr:row>13</xdr:row>
      <xdr:rowOff>28574</xdr:rowOff>
    </xdr:from>
    <xdr:to>
      <xdr:col>26</xdr:col>
      <xdr:colOff>542925</xdr:colOff>
      <xdr:row>32</xdr:row>
      <xdr:rowOff>171449</xdr:rowOff>
    </xdr:to>
    <xdr:graphicFrame macro="">
      <xdr:nvGraphicFramePr>
        <xdr:cNvPr id="8" name="Grafico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400050</xdr:colOff>
      <xdr:row>8</xdr:row>
      <xdr:rowOff>209550</xdr:rowOff>
    </xdr:from>
    <xdr:to>
      <xdr:col>24</xdr:col>
      <xdr:colOff>285750</xdr:colOff>
      <xdr:row>17</xdr:row>
      <xdr:rowOff>161925</xdr:rowOff>
    </xdr:to>
    <xdr:graphicFrame macro="">
      <xdr:nvGraphicFramePr>
        <xdr:cNvPr id="9" name="Grafico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xdr:colOff>
      <xdr:row>0</xdr:row>
      <xdr:rowOff>200024</xdr:rowOff>
    </xdr:from>
    <xdr:to>
      <xdr:col>21</xdr:col>
      <xdr:colOff>257175</xdr:colOff>
      <xdr:row>2</xdr:row>
      <xdr:rowOff>171449</xdr:rowOff>
    </xdr:to>
    <xdr:sp macro="" textlink="">
      <xdr:nvSpPr>
        <xdr:cNvPr id="10" name="CasellaDiTesto 9">
          <a:extLst>
            <a:ext uri="{FF2B5EF4-FFF2-40B4-BE49-F238E27FC236}">
              <a16:creationId xmlns:a16="http://schemas.microsoft.com/office/drawing/2014/main" id="{00000000-0008-0000-0000-00000A000000}"/>
            </a:ext>
          </a:extLst>
        </xdr:cNvPr>
        <xdr:cNvSpPr txBox="1"/>
      </xdr:nvSpPr>
      <xdr:spPr>
        <a:xfrm>
          <a:off x="10363201" y="190499"/>
          <a:ext cx="2695574"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inserisci la lunghezza di consolidamento e verifica il diametro del tronco all'inserzione</a:t>
          </a:r>
        </a:p>
      </xdr:txBody>
    </xdr:sp>
    <xdr:clientData/>
  </xdr:twoCellAnchor>
  <xdr:twoCellAnchor>
    <xdr:from>
      <xdr:col>19</xdr:col>
      <xdr:colOff>200025</xdr:colOff>
      <xdr:row>3</xdr:row>
      <xdr:rowOff>47624</xdr:rowOff>
    </xdr:from>
    <xdr:to>
      <xdr:col>23</xdr:col>
      <xdr:colOff>390525</xdr:colOff>
      <xdr:row>6</xdr:row>
      <xdr:rowOff>28575</xdr:rowOff>
    </xdr:to>
    <xdr:sp macro="" textlink="">
      <xdr:nvSpPr>
        <xdr:cNvPr id="11" name="CasellaDiTesto 10">
          <a:extLst>
            <a:ext uri="{FF2B5EF4-FFF2-40B4-BE49-F238E27FC236}">
              <a16:creationId xmlns:a16="http://schemas.microsoft.com/office/drawing/2014/main" id="{00000000-0008-0000-0000-00000B000000}"/>
            </a:ext>
          </a:extLst>
        </xdr:cNvPr>
        <xdr:cNvSpPr txBox="1"/>
      </xdr:nvSpPr>
      <xdr:spPr>
        <a:xfrm>
          <a:off x="11782425" y="619124"/>
          <a:ext cx="2628900"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inserisci la resistenza a compressione della</a:t>
          </a:r>
          <a:r>
            <a:rPr lang="it-IT" sz="1100" baseline="0"/>
            <a:t> specie di albero che stai consolidando</a:t>
          </a:r>
          <a:endParaRPr lang="it-IT" sz="1100"/>
        </a:p>
      </xdr:txBody>
    </xdr:sp>
    <xdr:clientData/>
  </xdr:twoCellAnchor>
  <xdr:twoCellAnchor>
    <xdr:from>
      <xdr:col>24</xdr:col>
      <xdr:colOff>581025</xdr:colOff>
      <xdr:row>8</xdr:row>
      <xdr:rowOff>190499</xdr:rowOff>
    </xdr:from>
    <xdr:to>
      <xdr:col>28</xdr:col>
      <xdr:colOff>200025</xdr:colOff>
      <xdr:row>11</xdr:row>
      <xdr:rowOff>142874</xdr:rowOff>
    </xdr:to>
    <xdr:sp macro="" textlink="">
      <xdr:nvSpPr>
        <xdr:cNvPr id="12" name="CasellaDiTesto 11">
          <a:extLst>
            <a:ext uri="{FF2B5EF4-FFF2-40B4-BE49-F238E27FC236}">
              <a16:creationId xmlns:a16="http://schemas.microsoft.com/office/drawing/2014/main" id="{00000000-0008-0000-0000-00000C000000}"/>
            </a:ext>
          </a:extLst>
        </xdr:cNvPr>
        <xdr:cNvSpPr txBox="1"/>
      </xdr:nvSpPr>
      <xdr:spPr>
        <a:xfrm>
          <a:off x="15211425" y="1714499"/>
          <a:ext cx="205740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ecco la resistenza nominale del cavo che</a:t>
          </a:r>
          <a:r>
            <a:rPr lang="it-IT" sz="1100" baseline="0"/>
            <a:t> devi adottare</a:t>
          </a:r>
          <a:endParaRPr lang="it-IT" sz="1100"/>
        </a:p>
      </xdr:txBody>
    </xdr:sp>
    <xdr:clientData/>
  </xdr:twoCellAnchor>
  <xdr:twoCellAnchor>
    <xdr:from>
      <xdr:col>16</xdr:col>
      <xdr:colOff>390525</xdr:colOff>
      <xdr:row>2</xdr:row>
      <xdr:rowOff>104775</xdr:rowOff>
    </xdr:from>
    <xdr:to>
      <xdr:col>17</xdr:col>
      <xdr:colOff>161925</xdr:colOff>
      <xdr:row>8</xdr:row>
      <xdr:rowOff>19050</xdr:rowOff>
    </xdr:to>
    <xdr:cxnSp macro="">
      <xdr:nvCxnSpPr>
        <xdr:cNvPr id="13" name="Connettore 2 12">
          <a:extLst>
            <a:ext uri="{FF2B5EF4-FFF2-40B4-BE49-F238E27FC236}">
              <a16:creationId xmlns:a16="http://schemas.microsoft.com/office/drawing/2014/main" id="{00000000-0008-0000-0000-00000D000000}"/>
            </a:ext>
          </a:extLst>
        </xdr:cNvPr>
        <xdr:cNvCxnSpPr/>
      </xdr:nvCxnSpPr>
      <xdr:spPr>
        <a:xfrm flipH="1">
          <a:off x="10144125" y="485775"/>
          <a:ext cx="381000" cy="105727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19051</xdr:colOff>
      <xdr:row>11</xdr:row>
      <xdr:rowOff>104775</xdr:rowOff>
    </xdr:from>
    <xdr:to>
      <xdr:col>25</xdr:col>
      <xdr:colOff>342900</xdr:colOff>
      <xdr:row>20</xdr:row>
      <xdr:rowOff>180975</xdr:rowOff>
    </xdr:to>
    <xdr:cxnSp macro="">
      <xdr:nvCxnSpPr>
        <xdr:cNvPr id="14" name="Connettore 2 13">
          <a:extLst>
            <a:ext uri="{FF2B5EF4-FFF2-40B4-BE49-F238E27FC236}">
              <a16:creationId xmlns:a16="http://schemas.microsoft.com/office/drawing/2014/main" id="{00000000-0008-0000-0000-00000E000000}"/>
            </a:ext>
          </a:extLst>
        </xdr:cNvPr>
        <xdr:cNvCxnSpPr/>
      </xdr:nvCxnSpPr>
      <xdr:spPr>
        <a:xfrm flipH="1">
          <a:off x="12820651" y="2200275"/>
          <a:ext cx="2762249" cy="179070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5</xdr:row>
      <xdr:rowOff>142875</xdr:rowOff>
    </xdr:from>
    <xdr:to>
      <xdr:col>19</xdr:col>
      <xdr:colOff>361950</xdr:colOff>
      <xdr:row>11</xdr:row>
      <xdr:rowOff>57150</xdr:rowOff>
    </xdr:to>
    <xdr:cxnSp macro="">
      <xdr:nvCxnSpPr>
        <xdr:cNvPr id="15" name="Connettore 2 14">
          <a:extLst>
            <a:ext uri="{FF2B5EF4-FFF2-40B4-BE49-F238E27FC236}">
              <a16:creationId xmlns:a16="http://schemas.microsoft.com/office/drawing/2014/main" id="{00000000-0008-0000-0000-00000F000000}"/>
            </a:ext>
          </a:extLst>
        </xdr:cNvPr>
        <xdr:cNvCxnSpPr/>
      </xdr:nvCxnSpPr>
      <xdr:spPr>
        <a:xfrm flipH="1">
          <a:off x="10448925" y="1095375"/>
          <a:ext cx="1495425" cy="105727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276225</xdr:colOff>
      <xdr:row>2</xdr:row>
      <xdr:rowOff>85725</xdr:rowOff>
    </xdr:from>
    <xdr:to>
      <xdr:col>22</xdr:col>
      <xdr:colOff>57150</xdr:colOff>
      <xdr:row>30</xdr:row>
      <xdr:rowOff>95250</xdr:rowOff>
    </xdr:to>
    <xdr:cxnSp macro="">
      <xdr:nvCxnSpPr>
        <xdr:cNvPr id="16" name="Connettore 2 15">
          <a:extLst>
            <a:ext uri="{FF2B5EF4-FFF2-40B4-BE49-F238E27FC236}">
              <a16:creationId xmlns:a16="http://schemas.microsoft.com/office/drawing/2014/main" id="{00000000-0008-0000-0000-000010000000}"/>
            </a:ext>
          </a:extLst>
        </xdr:cNvPr>
        <xdr:cNvCxnSpPr/>
      </xdr:nvCxnSpPr>
      <xdr:spPr>
        <a:xfrm>
          <a:off x="11249025" y="466725"/>
          <a:ext cx="2219325" cy="53435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609599</xdr:colOff>
      <xdr:row>7</xdr:row>
      <xdr:rowOff>0</xdr:rowOff>
    </xdr:from>
    <xdr:to>
      <xdr:col>13</xdr:col>
      <xdr:colOff>352425</xdr:colOff>
      <xdr:row>10</xdr:row>
      <xdr:rowOff>9525</xdr:rowOff>
    </xdr:to>
    <xdr:sp macro="" textlink="">
      <xdr:nvSpPr>
        <xdr:cNvPr id="17" name="CasellaDiTesto 16">
          <a:extLst>
            <a:ext uri="{FF2B5EF4-FFF2-40B4-BE49-F238E27FC236}">
              <a16:creationId xmlns:a16="http://schemas.microsoft.com/office/drawing/2014/main" id="{00000000-0008-0000-0000-000011000000}"/>
            </a:ext>
          </a:extLst>
        </xdr:cNvPr>
        <xdr:cNvSpPr txBox="1"/>
      </xdr:nvSpPr>
      <xdr:spPr>
        <a:xfrm>
          <a:off x="3657599" y="1333500"/>
          <a:ext cx="4619626"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inserisci le</a:t>
          </a:r>
          <a:r>
            <a:rPr lang="it-IT" sz="1100" baseline="0"/>
            <a:t> proprietà del materiale che usi (carico nominale, allungamento), lo spazio che intercorre fra i due punti di consolidamento (tirante) e il lasco di corda che ritieni tollerabile (freccia)</a:t>
          </a:r>
          <a:r>
            <a:rPr lang="it-IT" sz="1100"/>
            <a:t> </a:t>
          </a:r>
        </a:p>
      </xdr:txBody>
    </xdr:sp>
    <xdr:clientData/>
  </xdr:twoCellAnchor>
  <xdr:twoCellAnchor>
    <xdr:from>
      <xdr:col>5</xdr:col>
      <xdr:colOff>171450</xdr:colOff>
      <xdr:row>9</xdr:row>
      <xdr:rowOff>19050</xdr:rowOff>
    </xdr:from>
    <xdr:to>
      <xdr:col>6</xdr:col>
      <xdr:colOff>409576</xdr:colOff>
      <xdr:row>10</xdr:row>
      <xdr:rowOff>0</xdr:rowOff>
    </xdr:to>
    <xdr:cxnSp macro="">
      <xdr:nvCxnSpPr>
        <xdr:cNvPr id="18" name="Connettore 2 17">
          <a:extLst>
            <a:ext uri="{FF2B5EF4-FFF2-40B4-BE49-F238E27FC236}">
              <a16:creationId xmlns:a16="http://schemas.microsoft.com/office/drawing/2014/main" id="{00000000-0008-0000-0000-000012000000}"/>
            </a:ext>
          </a:extLst>
        </xdr:cNvPr>
        <xdr:cNvCxnSpPr/>
      </xdr:nvCxnSpPr>
      <xdr:spPr>
        <a:xfrm flipH="1">
          <a:off x="3219450" y="1733550"/>
          <a:ext cx="847726" cy="17145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66674</xdr:colOff>
      <xdr:row>10</xdr:row>
      <xdr:rowOff>171450</xdr:rowOff>
    </xdr:from>
    <xdr:to>
      <xdr:col>13</xdr:col>
      <xdr:colOff>419100</xdr:colOff>
      <xdr:row>13</xdr:row>
      <xdr:rowOff>85725</xdr:rowOff>
    </xdr:to>
    <xdr:sp macro="" textlink="">
      <xdr:nvSpPr>
        <xdr:cNvPr id="19" name="CasellaDiTesto 18">
          <a:extLst>
            <a:ext uri="{FF2B5EF4-FFF2-40B4-BE49-F238E27FC236}">
              <a16:creationId xmlns:a16="http://schemas.microsoft.com/office/drawing/2014/main" id="{00000000-0008-0000-0000-000013000000}"/>
            </a:ext>
          </a:extLst>
        </xdr:cNvPr>
        <xdr:cNvSpPr txBox="1"/>
      </xdr:nvSpPr>
      <xdr:spPr>
        <a:xfrm>
          <a:off x="3724274" y="2076450"/>
          <a:ext cx="4619626"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questo è l'allungamento della corda che si verifica  fino ad arrivare al carico nominale massimo</a:t>
          </a:r>
        </a:p>
      </xdr:txBody>
    </xdr:sp>
    <xdr:clientData/>
  </xdr:twoCellAnchor>
  <xdr:twoCellAnchor>
    <xdr:from>
      <xdr:col>7</xdr:col>
      <xdr:colOff>304801</xdr:colOff>
      <xdr:row>12</xdr:row>
      <xdr:rowOff>95250</xdr:rowOff>
    </xdr:from>
    <xdr:to>
      <xdr:col>7</xdr:col>
      <xdr:colOff>542925</xdr:colOff>
      <xdr:row>15</xdr:row>
      <xdr:rowOff>28575</xdr:rowOff>
    </xdr:to>
    <xdr:cxnSp macro="">
      <xdr:nvCxnSpPr>
        <xdr:cNvPr id="20" name="Connettore 2 19">
          <a:extLst>
            <a:ext uri="{FF2B5EF4-FFF2-40B4-BE49-F238E27FC236}">
              <a16:creationId xmlns:a16="http://schemas.microsoft.com/office/drawing/2014/main" id="{00000000-0008-0000-0000-000014000000}"/>
            </a:ext>
          </a:extLst>
        </xdr:cNvPr>
        <xdr:cNvCxnSpPr/>
      </xdr:nvCxnSpPr>
      <xdr:spPr>
        <a:xfrm>
          <a:off x="4572001" y="2381250"/>
          <a:ext cx="238124" cy="5048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91440</xdr:colOff>
      <xdr:row>0</xdr:row>
      <xdr:rowOff>30480</xdr:rowOff>
    </xdr:from>
    <xdr:to>
      <xdr:col>14</xdr:col>
      <xdr:colOff>464820</xdr:colOff>
      <xdr:row>1</xdr:row>
      <xdr:rowOff>243841</xdr:rowOff>
    </xdr:to>
    <xdr:pic>
      <xdr:nvPicPr>
        <xdr:cNvPr id="23" name="Immagine 22">
          <a:extLst>
            <a:ext uri="{FF2B5EF4-FFF2-40B4-BE49-F238E27FC236}">
              <a16:creationId xmlns:a16="http://schemas.microsoft.com/office/drawing/2014/main" id="{017B009F-E46F-4F1D-9A00-50A2B30DF0D8}"/>
            </a:ext>
          </a:extLst>
        </xdr:cNvPr>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37120" y="30480"/>
          <a:ext cx="1592580" cy="53340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66674</xdr:colOff>
      <xdr:row>5</xdr:row>
      <xdr:rowOff>47624</xdr:rowOff>
    </xdr:from>
    <xdr:to>
      <xdr:col>18</xdr:col>
      <xdr:colOff>457199</xdr:colOff>
      <xdr:row>36</xdr:row>
      <xdr:rowOff>104774</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123826</xdr:colOff>
      <xdr:row>0</xdr:row>
      <xdr:rowOff>95251</xdr:rowOff>
    </xdr:from>
    <xdr:to>
      <xdr:col>15</xdr:col>
      <xdr:colOff>171450</xdr:colOff>
      <xdr:row>13</xdr:row>
      <xdr:rowOff>95250</xdr:rowOff>
    </xdr:to>
    <xdr:graphicFrame macro="">
      <xdr:nvGraphicFramePr>
        <xdr:cNvPr id="3" name="Chart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0.81067</cdr:x>
      <cdr:y>0.04421</cdr:y>
    </cdr:from>
    <cdr:to>
      <cdr:x>0.98226</cdr:x>
      <cdr:y>0.21733</cdr:y>
    </cdr:to>
    <cdr:sp macro="" textlink="">
      <cdr:nvSpPr>
        <cdr:cNvPr id="4097" name="Text Box 1"/>
        <cdr:cNvSpPr txBox="1">
          <a:spLocks xmlns:a="http://schemas.openxmlformats.org/drawingml/2006/main" noChangeArrowheads="1"/>
        </cdr:cNvSpPr>
      </cdr:nvSpPr>
      <cdr:spPr bwMode="auto">
        <a:xfrm xmlns:a="http://schemas.openxmlformats.org/drawingml/2006/main">
          <a:off x="3470201" y="117301"/>
          <a:ext cx="733849" cy="4468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it-IT" sz="1100" b="0" i="0" u="none" strike="noStrike" baseline="0">
              <a:solidFill>
                <a:srgbClr val="000000"/>
              </a:solidFill>
              <a:latin typeface="Arial"/>
              <a:cs typeface="Arial"/>
            </a:rPr>
            <a:t>densità (kg/mc)</a:t>
          </a:r>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38100</xdr:colOff>
      <xdr:row>37</xdr:row>
      <xdr:rowOff>38100</xdr:rowOff>
    </xdr:from>
    <xdr:to>
      <xdr:col>10</xdr:col>
      <xdr:colOff>66675</xdr:colOff>
      <xdr:row>47</xdr:row>
      <xdr:rowOff>28575</xdr:rowOff>
    </xdr:to>
    <xdr:sp macro="" textlink="">
      <xdr:nvSpPr>
        <xdr:cNvPr id="2" name="Cilindro 1">
          <a:extLst>
            <a:ext uri="{FF2B5EF4-FFF2-40B4-BE49-F238E27FC236}">
              <a16:creationId xmlns:a16="http://schemas.microsoft.com/office/drawing/2014/main" id="{00000000-0008-0000-0200-000002000000}"/>
            </a:ext>
          </a:extLst>
        </xdr:cNvPr>
        <xdr:cNvSpPr/>
      </xdr:nvSpPr>
      <xdr:spPr>
        <a:xfrm>
          <a:off x="5524500" y="6029325"/>
          <a:ext cx="638175" cy="1609725"/>
        </a:xfrm>
        <a:prstGeom prst="ca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it-IT"/>
        </a:p>
      </xdr:txBody>
    </xdr:sp>
    <xdr:clientData/>
  </xdr:twoCellAnchor>
  <xdr:twoCellAnchor>
    <xdr:from>
      <xdr:col>7</xdr:col>
      <xdr:colOff>323850</xdr:colOff>
      <xdr:row>38</xdr:row>
      <xdr:rowOff>9525</xdr:rowOff>
    </xdr:from>
    <xdr:to>
      <xdr:col>8</xdr:col>
      <xdr:colOff>266700</xdr:colOff>
      <xdr:row>48</xdr:row>
      <xdr:rowOff>19050</xdr:rowOff>
    </xdr:to>
    <xdr:sp macro="" textlink="">
      <xdr:nvSpPr>
        <xdr:cNvPr id="3" name="Triangolo isoscele 2">
          <a:extLst>
            <a:ext uri="{FF2B5EF4-FFF2-40B4-BE49-F238E27FC236}">
              <a16:creationId xmlns:a16="http://schemas.microsoft.com/office/drawing/2014/main" id="{00000000-0008-0000-0200-000003000000}"/>
            </a:ext>
          </a:extLst>
        </xdr:cNvPr>
        <xdr:cNvSpPr/>
      </xdr:nvSpPr>
      <xdr:spPr>
        <a:xfrm>
          <a:off x="4591050" y="6162675"/>
          <a:ext cx="552450" cy="16287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it-IT"/>
        </a:p>
      </xdr:txBody>
    </xdr:sp>
    <xdr:clientData/>
  </xdr:twoCellAnchor>
  <xdr:twoCellAnchor editAs="oneCell">
    <xdr:from>
      <xdr:col>7</xdr:col>
      <xdr:colOff>409575</xdr:colOff>
      <xdr:row>23</xdr:row>
      <xdr:rowOff>57150</xdr:rowOff>
    </xdr:from>
    <xdr:to>
      <xdr:col>14</xdr:col>
      <xdr:colOff>600075</xdr:colOff>
      <xdr:row>28</xdr:row>
      <xdr:rowOff>95250</xdr:rowOff>
    </xdr:to>
    <xdr:pic>
      <xdr:nvPicPr>
        <xdr:cNvPr id="4" name="Picture 17" descr="cerchietti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76775" y="3781425"/>
          <a:ext cx="4457700" cy="847725"/>
        </a:xfrm>
        <a:prstGeom prst="rect">
          <a:avLst/>
        </a:prstGeom>
        <a:noFill/>
        <a:ln w="9525">
          <a:noFill/>
          <a:miter lim="800000"/>
          <a:headEnd/>
          <a:tailEnd/>
        </a:ln>
      </xdr:spPr>
    </xdr:pic>
    <xdr:clientData/>
  </xdr:twoCellAnchor>
  <xdr:twoCellAnchor>
    <xdr:from>
      <xdr:col>10</xdr:col>
      <xdr:colOff>171450</xdr:colOff>
      <xdr:row>35</xdr:row>
      <xdr:rowOff>114300</xdr:rowOff>
    </xdr:from>
    <xdr:to>
      <xdr:col>15</xdr:col>
      <xdr:colOff>390525</xdr:colOff>
      <xdr:row>47</xdr:row>
      <xdr:rowOff>152401</xdr:rowOff>
    </xdr:to>
    <xdr:sp macro="" textlink="">
      <xdr:nvSpPr>
        <xdr:cNvPr id="5" name="CasellaDiTesto 4">
          <a:extLst>
            <a:ext uri="{FF2B5EF4-FFF2-40B4-BE49-F238E27FC236}">
              <a16:creationId xmlns:a16="http://schemas.microsoft.com/office/drawing/2014/main" id="{00000000-0008-0000-0200-000005000000}"/>
            </a:ext>
          </a:extLst>
        </xdr:cNvPr>
        <xdr:cNvSpPr txBox="1"/>
      </xdr:nvSpPr>
      <xdr:spPr>
        <a:xfrm>
          <a:off x="6267450" y="5781675"/>
          <a:ext cx="3267075" cy="1981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100"/>
            <a:t>La rastremazione e cioé la riduzione del diametro in funzione dell'altezza è stimata</a:t>
          </a:r>
          <a:r>
            <a:rPr lang="it-IT" sz="1100" baseline="0"/>
            <a:t> attribuendo un coefficiente di forma (F) che stima quanto è diverso il tronco in esame rispetto ad un cilindro. Un valore di </a:t>
          </a:r>
          <a:r>
            <a:rPr lang="it-IT" sz="1100"/>
            <a:t>F= 1  è quindi da usare per toppi perfettamente cilindrici . Un</a:t>
          </a:r>
          <a:r>
            <a:rPr lang="it-IT" sz="1100" baseline="0"/>
            <a:t> cono (quindi la parte sommitale del tronco di una conifera ad esempio) ha un valore di </a:t>
          </a:r>
          <a:r>
            <a:rPr lang="it-IT" sz="1100"/>
            <a:t>F = 0.33. Di norma i</a:t>
          </a:r>
          <a:r>
            <a:rPr lang="it-IT" sz="1100" baseline="0"/>
            <a:t> tronchi un pò rastremati ma non troppo hanno un valore di 0,8. Si può anche usare un valore di F &gt; 1 , ma solo </a:t>
          </a:r>
          <a:r>
            <a:rPr lang="it-IT" sz="1100"/>
            <a:t>per toppi cilindrici e soprattutto con molti rami </a:t>
          </a:r>
        </a:p>
      </xdr:txBody>
    </xdr:sp>
    <xdr:clientData/>
  </xdr:twoCellAnchor>
  <xdr:twoCellAnchor>
    <xdr:from>
      <xdr:col>7</xdr:col>
      <xdr:colOff>352424</xdr:colOff>
      <xdr:row>29</xdr:row>
      <xdr:rowOff>0</xdr:rowOff>
    </xdr:from>
    <xdr:to>
      <xdr:col>14</xdr:col>
      <xdr:colOff>571499</xdr:colOff>
      <xdr:row>35</xdr:row>
      <xdr:rowOff>38100</xdr:rowOff>
    </xdr:to>
    <xdr:sp macro="" textlink="">
      <xdr:nvSpPr>
        <xdr:cNvPr id="6" name="CasellaDiTesto 5">
          <a:extLst>
            <a:ext uri="{FF2B5EF4-FFF2-40B4-BE49-F238E27FC236}">
              <a16:creationId xmlns:a16="http://schemas.microsoft.com/office/drawing/2014/main" id="{00000000-0008-0000-0200-000006000000}"/>
            </a:ext>
          </a:extLst>
        </xdr:cNvPr>
        <xdr:cNvSpPr txBox="1"/>
      </xdr:nvSpPr>
      <xdr:spPr>
        <a:xfrm>
          <a:off x="4619624" y="4695825"/>
          <a:ext cx="448627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100"/>
            <a:t>Il percento di cavità è una variabile da stimare in presenza di tronchi cavi e permette di ridurre la</a:t>
          </a:r>
          <a:r>
            <a:rPr lang="it-IT" sz="1100" baseline="0"/>
            <a:t> massa del toppo in funzione della percentuale di legno ormai cariata e assente. In questi disegni puoi notare che, </a:t>
          </a:r>
          <a:r>
            <a:rPr lang="it-IT" sz="1100"/>
            <a:t>da sinistra a destra, la percentuale di cavità (area bianca interna) passa dal  20 al 40, 60, 80 e 90%. </a:t>
          </a:r>
        </a:p>
      </xdr:txBody>
    </xdr:sp>
    <xdr:clientData/>
  </xdr:twoCellAnchor>
  <xdr:twoCellAnchor>
    <xdr:from>
      <xdr:col>1</xdr:col>
      <xdr:colOff>28574</xdr:colOff>
      <xdr:row>11</xdr:row>
      <xdr:rowOff>19049</xdr:rowOff>
    </xdr:from>
    <xdr:to>
      <xdr:col>15</xdr:col>
      <xdr:colOff>590549</xdr:colOff>
      <xdr:row>22</xdr:row>
      <xdr:rowOff>47625</xdr:rowOff>
    </xdr:to>
    <xdr:sp macro="" textlink="">
      <xdr:nvSpPr>
        <xdr:cNvPr id="12" name="CasellaDiTesto 11">
          <a:extLst>
            <a:ext uri="{FF2B5EF4-FFF2-40B4-BE49-F238E27FC236}">
              <a16:creationId xmlns:a16="http://schemas.microsoft.com/office/drawing/2014/main" id="{00000000-0008-0000-0200-00000C000000}"/>
            </a:ext>
          </a:extLst>
        </xdr:cNvPr>
        <xdr:cNvSpPr txBox="1"/>
      </xdr:nvSpPr>
      <xdr:spPr>
        <a:xfrm>
          <a:off x="638174" y="1800224"/>
          <a:ext cx="9096375" cy="1809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100"/>
            <a:t>Questo file permette di stimare la massa di un toppo legnoso  di diverse specie di uso comune, sulla base  di</a:t>
          </a:r>
          <a:r>
            <a:rPr lang="it-IT" sz="1100" baseline="0"/>
            <a:t> alcune semplici variabili facilmente misurabili.</a:t>
          </a:r>
        </a:p>
        <a:p>
          <a:endParaRPr lang="it-IT" sz="1100" baseline="0"/>
        </a:p>
        <a:p>
          <a:r>
            <a:rPr lang="it-IT" sz="1100" baseline="0"/>
            <a:t>Per la stima è sufficiente inserire le variabili del toppo oggetto di stima nei riquadri gialli qui sotto, scegliendo la specie, il diametro alla base, la lunghezza, l'eventuale presenza  percentuale di cavità e la rastremazione del toppo. Automaticamente si ottiene la massa (in kg , q, o t) stimata del toppo.</a:t>
          </a:r>
        </a:p>
        <a:p>
          <a:endParaRPr lang="it-IT" sz="1100" baseline="0"/>
        </a:p>
        <a:p>
          <a:r>
            <a:rPr lang="it-IT" sz="1100" baseline="0"/>
            <a:t>Nel riquadro sottostante è possibile eseguire una operazione inversa e cioé, sapendo la massa (ad esempio il carico massimo che può sopportare in sicurezza la gru), date le altre variabili da inserire sempre nei riquadri in giallo, è possibile stimare la lunghezza del toppo  che avrà quella massa.</a:t>
          </a:r>
        </a:p>
        <a:p>
          <a:endParaRPr lang="it-IT" sz="1100" baseline="0"/>
        </a:p>
        <a:p>
          <a:r>
            <a:rPr lang="it-IT" sz="1100" baseline="0"/>
            <a:t>Per evitare errori, il file è stato protetto in modo tale che l'operatore può inserire solo i dati nei riquadri gialli, senza modificare le formule presenti. </a:t>
          </a:r>
          <a:endParaRPr lang="it-IT" sz="1100"/>
        </a:p>
      </xdr:txBody>
    </xdr:sp>
    <xdr:clientData/>
  </xdr:twoCellAnchor>
  <xdr:twoCellAnchor>
    <xdr:from>
      <xdr:col>17</xdr:col>
      <xdr:colOff>742949</xdr:colOff>
      <xdr:row>1</xdr:row>
      <xdr:rowOff>114299</xdr:rowOff>
    </xdr:from>
    <xdr:to>
      <xdr:col>18</xdr:col>
      <xdr:colOff>9524</xdr:colOff>
      <xdr:row>20</xdr:row>
      <xdr:rowOff>142874</xdr:rowOff>
    </xdr:to>
    <xdr:sp macro="" textlink="">
      <xdr:nvSpPr>
        <xdr:cNvPr id="13" name="Trapezio 12">
          <a:extLst>
            <a:ext uri="{FF2B5EF4-FFF2-40B4-BE49-F238E27FC236}">
              <a16:creationId xmlns:a16="http://schemas.microsoft.com/office/drawing/2014/main" id="{00000000-0008-0000-0200-00000D000000}"/>
            </a:ext>
          </a:extLst>
        </xdr:cNvPr>
        <xdr:cNvSpPr/>
      </xdr:nvSpPr>
      <xdr:spPr>
        <a:xfrm>
          <a:off x="10972799" y="276224"/>
          <a:ext cx="9525" cy="3105150"/>
        </a:xfrm>
        <a:prstGeom prst="trapezoid">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it-IT"/>
        </a:p>
      </xdr:txBody>
    </xdr:sp>
    <xdr:clientData/>
  </xdr:twoCellAnchor>
  <xdr:twoCellAnchor>
    <xdr:from>
      <xdr:col>17</xdr:col>
      <xdr:colOff>714375</xdr:colOff>
      <xdr:row>20</xdr:row>
      <xdr:rowOff>66675</xdr:rowOff>
    </xdr:from>
    <xdr:to>
      <xdr:col>18</xdr:col>
      <xdr:colOff>19050</xdr:colOff>
      <xdr:row>21</xdr:row>
      <xdr:rowOff>133350</xdr:rowOff>
    </xdr:to>
    <xdr:sp macro="" textlink="">
      <xdr:nvSpPr>
        <xdr:cNvPr id="14" name="Ovale 13">
          <a:extLst>
            <a:ext uri="{FF2B5EF4-FFF2-40B4-BE49-F238E27FC236}">
              <a16:creationId xmlns:a16="http://schemas.microsoft.com/office/drawing/2014/main" id="{00000000-0008-0000-0200-00000E000000}"/>
            </a:ext>
          </a:extLst>
        </xdr:cNvPr>
        <xdr:cNvSpPr/>
      </xdr:nvSpPr>
      <xdr:spPr>
        <a:xfrm>
          <a:off x="10972800" y="3305175"/>
          <a:ext cx="1905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it-IT"/>
        </a:p>
      </xdr:txBody>
    </xdr:sp>
    <xdr:clientData/>
  </xdr:twoCellAnchor>
  <xdr:twoCellAnchor>
    <xdr:from>
      <xdr:col>17</xdr:col>
      <xdr:colOff>933450</xdr:colOff>
      <xdr:row>1</xdr:row>
      <xdr:rowOff>0</xdr:rowOff>
    </xdr:from>
    <xdr:to>
      <xdr:col>17</xdr:col>
      <xdr:colOff>1333500</xdr:colOff>
      <xdr:row>2</xdr:row>
      <xdr:rowOff>9525</xdr:rowOff>
    </xdr:to>
    <xdr:sp macro="" textlink="">
      <xdr:nvSpPr>
        <xdr:cNvPr id="15" name="Ovale 14">
          <a:extLst>
            <a:ext uri="{FF2B5EF4-FFF2-40B4-BE49-F238E27FC236}">
              <a16:creationId xmlns:a16="http://schemas.microsoft.com/office/drawing/2014/main" id="{00000000-0008-0000-0200-00000F000000}"/>
            </a:ext>
          </a:extLst>
        </xdr:cNvPr>
        <xdr:cNvSpPr/>
      </xdr:nvSpPr>
      <xdr:spPr>
        <a:xfrm>
          <a:off x="10972800" y="161925"/>
          <a:ext cx="0" cy="171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it-IT"/>
        </a:p>
      </xdr:txBody>
    </xdr:sp>
    <xdr:clientData/>
  </xdr:twoCellAnchor>
  <xdr:twoCellAnchor>
    <xdr:from>
      <xdr:col>17</xdr:col>
      <xdr:colOff>714375</xdr:colOff>
      <xdr:row>21</xdr:row>
      <xdr:rowOff>19050</xdr:rowOff>
    </xdr:from>
    <xdr:to>
      <xdr:col>18</xdr:col>
      <xdr:colOff>19050</xdr:colOff>
      <xdr:row>21</xdr:row>
      <xdr:rowOff>19050</xdr:rowOff>
    </xdr:to>
    <xdr:cxnSp macro="">
      <xdr:nvCxnSpPr>
        <xdr:cNvPr id="16" name="Connettore 2 15">
          <a:extLst>
            <a:ext uri="{FF2B5EF4-FFF2-40B4-BE49-F238E27FC236}">
              <a16:creationId xmlns:a16="http://schemas.microsoft.com/office/drawing/2014/main" id="{00000000-0008-0000-0200-000010000000}"/>
            </a:ext>
          </a:extLst>
        </xdr:cNvPr>
        <xdr:cNvCxnSpPr>
          <a:stCxn id="14" idx="2"/>
          <a:endCxn id="14" idx="6"/>
        </xdr:cNvCxnSpPr>
      </xdr:nvCxnSpPr>
      <xdr:spPr>
        <a:xfrm>
          <a:off x="10972800" y="3419475"/>
          <a:ext cx="19050" cy="0"/>
        </a:xfrm>
        <a:prstGeom prst="straightConnector1">
          <a:avLst/>
        </a:prstGeom>
        <a:ln w="3810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1504950</xdr:colOff>
      <xdr:row>0</xdr:row>
      <xdr:rowOff>133350</xdr:rowOff>
    </xdr:from>
    <xdr:to>
      <xdr:col>18</xdr:col>
      <xdr:colOff>9525</xdr:colOff>
      <xdr:row>21</xdr:row>
      <xdr:rowOff>9525</xdr:rowOff>
    </xdr:to>
    <xdr:cxnSp macro="">
      <xdr:nvCxnSpPr>
        <xdr:cNvPr id="17" name="Connettore 2 16">
          <a:extLst>
            <a:ext uri="{FF2B5EF4-FFF2-40B4-BE49-F238E27FC236}">
              <a16:creationId xmlns:a16="http://schemas.microsoft.com/office/drawing/2014/main" id="{00000000-0008-0000-0200-000011000000}"/>
            </a:ext>
          </a:extLst>
        </xdr:cNvPr>
        <xdr:cNvCxnSpPr/>
      </xdr:nvCxnSpPr>
      <xdr:spPr>
        <a:xfrm flipH="1" flipV="1">
          <a:off x="10972800" y="133350"/>
          <a:ext cx="9525" cy="3276600"/>
        </a:xfrm>
        <a:prstGeom prst="straightConnector1">
          <a:avLst/>
        </a:prstGeom>
        <a:ln w="3810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581026</xdr:colOff>
      <xdr:row>21</xdr:row>
      <xdr:rowOff>133350</xdr:rowOff>
    </xdr:from>
    <xdr:to>
      <xdr:col>18</xdr:col>
      <xdr:colOff>180976</xdr:colOff>
      <xdr:row>25</xdr:row>
      <xdr:rowOff>0</xdr:rowOff>
    </xdr:to>
    <xdr:sp macro="" textlink="">
      <xdr:nvSpPr>
        <xdr:cNvPr id="18" name="CasellaDiTesto 17">
          <a:extLst>
            <a:ext uri="{FF2B5EF4-FFF2-40B4-BE49-F238E27FC236}">
              <a16:creationId xmlns:a16="http://schemas.microsoft.com/office/drawing/2014/main" id="{00000000-0008-0000-0200-000012000000}"/>
            </a:ext>
          </a:extLst>
        </xdr:cNvPr>
        <xdr:cNvSpPr txBox="1"/>
      </xdr:nvSpPr>
      <xdr:spPr>
        <a:xfrm>
          <a:off x="10944226" y="3533775"/>
          <a:ext cx="2095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Diametro del toppo alla base</a:t>
          </a:r>
        </a:p>
      </xdr:txBody>
    </xdr:sp>
    <xdr:clientData/>
  </xdr:twoCellAnchor>
  <xdr:twoCellAnchor>
    <xdr:from>
      <xdr:col>18</xdr:col>
      <xdr:colOff>109540</xdr:colOff>
      <xdr:row>3</xdr:row>
      <xdr:rowOff>228600</xdr:rowOff>
    </xdr:from>
    <xdr:to>
      <xdr:col>18</xdr:col>
      <xdr:colOff>390525</xdr:colOff>
      <xdr:row>14</xdr:row>
      <xdr:rowOff>157163</xdr:rowOff>
    </xdr:to>
    <xdr:sp macro="" textlink="">
      <xdr:nvSpPr>
        <xdr:cNvPr id="19" name="CasellaDiTesto 18">
          <a:extLst>
            <a:ext uri="{FF2B5EF4-FFF2-40B4-BE49-F238E27FC236}">
              <a16:creationId xmlns:a16="http://schemas.microsoft.com/office/drawing/2014/main" id="{00000000-0008-0000-0200-000013000000}"/>
            </a:ext>
          </a:extLst>
        </xdr:cNvPr>
        <xdr:cNvSpPr txBox="1"/>
      </xdr:nvSpPr>
      <xdr:spPr>
        <a:xfrm rot="16200000">
          <a:off x="10334626" y="1395414"/>
          <a:ext cx="1776413" cy="28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100"/>
            <a:t>Lunghezza del toppo </a:t>
          </a:r>
        </a:p>
      </xdr:txBody>
    </xdr:sp>
    <xdr:clientData/>
  </xdr:twoCellAnchor>
  <xdr:twoCellAnchor editAs="oneCell">
    <xdr:from>
      <xdr:col>13</xdr:col>
      <xdr:colOff>180975</xdr:colOff>
      <xdr:row>4</xdr:row>
      <xdr:rowOff>9525</xdr:rowOff>
    </xdr:from>
    <xdr:to>
      <xdr:col>14</xdr:col>
      <xdr:colOff>476250</xdr:colOff>
      <xdr:row>5</xdr:row>
      <xdr:rowOff>160020</xdr:rowOff>
    </xdr:to>
    <xdr:pic>
      <xdr:nvPicPr>
        <xdr:cNvPr id="24" name="Picture 10">
          <a:hlinkClick xmlns:r="http://schemas.openxmlformats.org/officeDocument/2006/relationships" r:id="rId2"/>
          <a:extLst>
            <a:ext uri="{FF2B5EF4-FFF2-40B4-BE49-F238E27FC236}">
              <a16:creationId xmlns:a16="http://schemas.microsoft.com/office/drawing/2014/main" id="{78248807-A0E3-4E03-A1FA-898DB6AB5A3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36255" y="802005"/>
          <a:ext cx="920115" cy="318135"/>
        </a:xfrm>
        <a:prstGeom prst="rect">
          <a:avLst/>
        </a:prstGeom>
        <a:noFill/>
        <a:ln w="1">
          <a:noFill/>
          <a:miter lim="800000"/>
          <a:headEnd/>
          <a:tailEnd/>
        </a:ln>
      </xdr:spPr>
    </xdr:pic>
    <xdr:clientData/>
  </xdr:twoCellAnchor>
  <xdr:twoCellAnchor editAs="oneCell">
    <xdr:from>
      <xdr:col>12</xdr:col>
      <xdr:colOff>144780</xdr:colOff>
      <xdr:row>1</xdr:row>
      <xdr:rowOff>22860</xdr:rowOff>
    </xdr:from>
    <xdr:to>
      <xdr:col>14</xdr:col>
      <xdr:colOff>487680</xdr:colOff>
      <xdr:row>2</xdr:row>
      <xdr:rowOff>198121</xdr:rowOff>
    </xdr:to>
    <xdr:pic>
      <xdr:nvPicPr>
        <xdr:cNvPr id="25" name="Immagine 24">
          <a:extLst>
            <a:ext uri="{FF2B5EF4-FFF2-40B4-BE49-F238E27FC236}">
              <a16:creationId xmlns:a16="http://schemas.microsoft.com/office/drawing/2014/main" id="{62146F67-9631-4606-9400-9AD403F58CB8}"/>
            </a:ext>
          </a:extLst>
        </xdr:cNvPr>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81060" y="198120"/>
          <a:ext cx="1592580" cy="53340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30</xdr:row>
      <xdr:rowOff>142875</xdr:rowOff>
    </xdr:from>
    <xdr:to>
      <xdr:col>6</xdr:col>
      <xdr:colOff>200025</xdr:colOff>
      <xdr:row>56</xdr:row>
      <xdr:rowOff>76200</xdr:rowOff>
    </xdr:to>
    <xdr:grpSp>
      <xdr:nvGrpSpPr>
        <xdr:cNvPr id="2" name="Group 43">
          <a:extLst>
            <a:ext uri="{FF2B5EF4-FFF2-40B4-BE49-F238E27FC236}">
              <a16:creationId xmlns:a16="http://schemas.microsoft.com/office/drawing/2014/main" id="{00000000-0008-0000-0300-000002000000}"/>
            </a:ext>
          </a:extLst>
        </xdr:cNvPr>
        <xdr:cNvGrpSpPr>
          <a:grpSpLocks/>
        </xdr:cNvGrpSpPr>
      </xdr:nvGrpSpPr>
      <xdr:grpSpPr bwMode="auto">
        <a:xfrm>
          <a:off x="152400" y="5530215"/>
          <a:ext cx="4954905" cy="4291965"/>
          <a:chOff x="123" y="304"/>
          <a:chExt cx="507" cy="435"/>
        </a:xfrm>
      </xdr:grpSpPr>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rot="3600000" flipV="1">
            <a:off x="403" y="366"/>
            <a:ext cx="0" cy="379"/>
          </a:xfrm>
          <a:prstGeom prst="line">
            <a:avLst/>
          </a:prstGeom>
          <a:noFill/>
          <a:ln w="127000">
            <a:solidFill>
              <a:srgbClr val="808080"/>
            </a:solidFill>
            <a:round/>
            <a:headEnd/>
            <a:tailEnd type="oval" w="med" len="med"/>
          </a:ln>
        </xdr:spPr>
      </xdr:sp>
      <xdr:sp macro="" textlink="">
        <xdr:nvSpPr>
          <xdr:cNvPr id="4" name="Line 5">
            <a:extLst>
              <a:ext uri="{FF2B5EF4-FFF2-40B4-BE49-F238E27FC236}">
                <a16:creationId xmlns:a16="http://schemas.microsoft.com/office/drawing/2014/main" id="{00000000-0008-0000-0300-000004000000}"/>
              </a:ext>
            </a:extLst>
          </xdr:cNvPr>
          <xdr:cNvSpPr>
            <a:spLocks noChangeShapeType="1"/>
          </xdr:cNvSpPr>
        </xdr:nvSpPr>
        <xdr:spPr bwMode="auto">
          <a:xfrm flipH="1" flipV="1">
            <a:off x="236" y="370"/>
            <a:ext cx="331" cy="91"/>
          </a:xfrm>
          <a:prstGeom prst="line">
            <a:avLst/>
          </a:prstGeom>
          <a:noFill/>
          <a:ln w="38100">
            <a:solidFill>
              <a:srgbClr val="0000FF"/>
            </a:solidFill>
            <a:round/>
            <a:headEnd/>
            <a:tailEnd/>
          </a:ln>
        </xdr:spPr>
      </xdr:sp>
      <xdr:sp macro="" textlink="">
        <xdr:nvSpPr>
          <xdr:cNvPr id="5" name="AutoShape 6">
            <a:extLst>
              <a:ext uri="{FF2B5EF4-FFF2-40B4-BE49-F238E27FC236}">
                <a16:creationId xmlns:a16="http://schemas.microsoft.com/office/drawing/2014/main" id="{00000000-0008-0000-0300-000005000000}"/>
              </a:ext>
            </a:extLst>
          </xdr:cNvPr>
          <xdr:cNvSpPr>
            <a:spLocks noChangeArrowheads="1"/>
          </xdr:cNvSpPr>
        </xdr:nvSpPr>
        <xdr:spPr bwMode="auto">
          <a:xfrm>
            <a:off x="193" y="304"/>
            <a:ext cx="52" cy="406"/>
          </a:xfrm>
          <a:prstGeom prst="can">
            <a:avLst>
              <a:gd name="adj" fmla="val 41099"/>
            </a:avLst>
          </a:prstGeom>
          <a:solidFill>
            <a:srgbClr val="FFFFFF"/>
          </a:solidFill>
          <a:ln w="9525">
            <a:solidFill>
              <a:srgbClr val="000000"/>
            </a:solidFill>
            <a:round/>
            <a:headEnd/>
            <a:tailEnd/>
          </a:ln>
        </xdr:spPr>
      </xdr:sp>
      <xdr:sp macro="" textlink="">
        <xdr:nvSpPr>
          <xdr:cNvPr id="6" name="AutoShape 7">
            <a:extLst>
              <a:ext uri="{FF2B5EF4-FFF2-40B4-BE49-F238E27FC236}">
                <a16:creationId xmlns:a16="http://schemas.microsoft.com/office/drawing/2014/main" id="{00000000-0008-0000-0300-000006000000}"/>
              </a:ext>
            </a:extLst>
          </xdr:cNvPr>
          <xdr:cNvSpPr>
            <a:spLocks noChangeArrowheads="1"/>
          </xdr:cNvSpPr>
        </xdr:nvSpPr>
        <xdr:spPr bwMode="auto">
          <a:xfrm>
            <a:off x="561" y="471"/>
            <a:ext cx="17" cy="84"/>
          </a:xfrm>
          <a:prstGeom prst="downArrow">
            <a:avLst>
              <a:gd name="adj1" fmla="val 50000"/>
              <a:gd name="adj2" fmla="val 123529"/>
            </a:avLst>
          </a:prstGeom>
          <a:solidFill>
            <a:srgbClr val="FFFFFF"/>
          </a:solidFill>
          <a:ln w="9525">
            <a:solidFill>
              <a:srgbClr val="000000"/>
            </a:solidFill>
            <a:miter lim="800000"/>
            <a:headEnd/>
            <a:tailEnd/>
          </a:ln>
        </xdr:spPr>
      </xdr:sp>
      <xdr:sp macro="" textlink="">
        <xdr:nvSpPr>
          <xdr:cNvPr id="7" name="AutoShape 8">
            <a:extLst>
              <a:ext uri="{FF2B5EF4-FFF2-40B4-BE49-F238E27FC236}">
                <a16:creationId xmlns:a16="http://schemas.microsoft.com/office/drawing/2014/main" id="{00000000-0008-0000-0300-000007000000}"/>
              </a:ext>
            </a:extLst>
          </xdr:cNvPr>
          <xdr:cNvSpPr>
            <a:spLocks noChangeArrowheads="1"/>
          </xdr:cNvSpPr>
        </xdr:nvSpPr>
        <xdr:spPr bwMode="auto">
          <a:xfrm>
            <a:off x="399" y="555"/>
            <a:ext cx="19" cy="89"/>
          </a:xfrm>
          <a:prstGeom prst="downArrow">
            <a:avLst>
              <a:gd name="adj1" fmla="val 50000"/>
              <a:gd name="adj2" fmla="val 117105"/>
            </a:avLst>
          </a:prstGeom>
          <a:solidFill>
            <a:srgbClr val="FFFFFF"/>
          </a:solidFill>
          <a:ln w="9525">
            <a:solidFill>
              <a:srgbClr val="000000"/>
            </a:solidFill>
            <a:miter lim="800000"/>
            <a:headEnd/>
            <a:tailEnd/>
          </a:ln>
        </xdr:spPr>
      </xdr:sp>
      <xdr:sp macro="" textlink="">
        <xdr:nvSpPr>
          <xdr:cNvPr id="8" name="AutoShape 9">
            <a:extLst>
              <a:ext uri="{FF2B5EF4-FFF2-40B4-BE49-F238E27FC236}">
                <a16:creationId xmlns:a16="http://schemas.microsoft.com/office/drawing/2014/main" id="{00000000-0008-0000-0300-000008000000}"/>
              </a:ext>
            </a:extLst>
          </xdr:cNvPr>
          <xdr:cNvSpPr>
            <a:spLocks noChangeArrowheads="1"/>
          </xdr:cNvSpPr>
        </xdr:nvSpPr>
        <xdr:spPr bwMode="auto">
          <a:xfrm rot="-1787856">
            <a:off x="239" y="610"/>
            <a:ext cx="101" cy="21"/>
          </a:xfrm>
          <a:prstGeom prst="rightArrow">
            <a:avLst>
              <a:gd name="adj1" fmla="val 33333"/>
              <a:gd name="adj2" fmla="val 101846"/>
            </a:avLst>
          </a:prstGeom>
          <a:solidFill>
            <a:srgbClr val="FFFFFF"/>
          </a:solidFill>
          <a:ln w="9525">
            <a:solidFill>
              <a:srgbClr val="000000"/>
            </a:solidFill>
            <a:miter lim="800000"/>
            <a:headEnd/>
            <a:tailEnd/>
          </a:ln>
        </xdr:spPr>
      </xdr:sp>
      <xdr:sp macro="" textlink="">
        <xdr:nvSpPr>
          <xdr:cNvPr id="9" name="Line 10">
            <a:extLst>
              <a:ext uri="{FF2B5EF4-FFF2-40B4-BE49-F238E27FC236}">
                <a16:creationId xmlns:a16="http://schemas.microsoft.com/office/drawing/2014/main" id="{00000000-0008-0000-0300-000009000000}"/>
              </a:ext>
            </a:extLst>
          </xdr:cNvPr>
          <xdr:cNvSpPr>
            <a:spLocks noChangeShapeType="1"/>
          </xdr:cNvSpPr>
        </xdr:nvSpPr>
        <xdr:spPr bwMode="auto">
          <a:xfrm flipH="1">
            <a:off x="465" y="459"/>
            <a:ext cx="99" cy="0"/>
          </a:xfrm>
          <a:prstGeom prst="line">
            <a:avLst/>
          </a:prstGeom>
          <a:noFill/>
          <a:ln w="25400">
            <a:solidFill>
              <a:srgbClr val="000000"/>
            </a:solidFill>
            <a:round/>
            <a:headEnd/>
            <a:tailEnd type="triangle" w="med" len="med"/>
          </a:ln>
        </xdr:spPr>
      </xdr:sp>
      <xdr:sp macro="" textlink="">
        <xdr:nvSpPr>
          <xdr:cNvPr id="10" name="Line 11">
            <a:extLst>
              <a:ext uri="{FF2B5EF4-FFF2-40B4-BE49-F238E27FC236}">
                <a16:creationId xmlns:a16="http://schemas.microsoft.com/office/drawing/2014/main" id="{00000000-0008-0000-0300-00000A000000}"/>
              </a:ext>
            </a:extLst>
          </xdr:cNvPr>
          <xdr:cNvSpPr>
            <a:spLocks noChangeShapeType="1"/>
          </xdr:cNvSpPr>
        </xdr:nvSpPr>
        <xdr:spPr bwMode="auto">
          <a:xfrm flipH="1" flipV="1">
            <a:off x="565" y="432"/>
            <a:ext cx="1" cy="27"/>
          </a:xfrm>
          <a:prstGeom prst="line">
            <a:avLst/>
          </a:prstGeom>
          <a:noFill/>
          <a:ln w="25400">
            <a:solidFill>
              <a:srgbClr val="000000"/>
            </a:solidFill>
            <a:round/>
            <a:headEnd/>
            <a:tailEnd type="triangle" w="med" len="med"/>
          </a:ln>
        </xdr:spPr>
      </xdr:sp>
      <xdr:sp macro="" textlink="">
        <xdr:nvSpPr>
          <xdr:cNvPr id="11" name="AutoShape 13">
            <a:extLst>
              <a:ext uri="{FF2B5EF4-FFF2-40B4-BE49-F238E27FC236}">
                <a16:creationId xmlns:a16="http://schemas.microsoft.com/office/drawing/2014/main" id="{00000000-0008-0000-0300-00000B000000}"/>
              </a:ext>
            </a:extLst>
          </xdr:cNvPr>
          <xdr:cNvSpPr>
            <a:spLocks noChangeArrowheads="1"/>
          </xdr:cNvSpPr>
        </xdr:nvSpPr>
        <xdr:spPr bwMode="auto">
          <a:xfrm rot="11703182">
            <a:off x="463" y="437"/>
            <a:ext cx="106" cy="19"/>
          </a:xfrm>
          <a:prstGeom prst="rightArrow">
            <a:avLst>
              <a:gd name="adj1" fmla="val 33333"/>
              <a:gd name="adj2" fmla="val 118139"/>
            </a:avLst>
          </a:prstGeom>
          <a:solidFill>
            <a:srgbClr val="FFFFFF"/>
          </a:solidFill>
          <a:ln w="9525">
            <a:solidFill>
              <a:srgbClr val="000000"/>
            </a:solidFill>
            <a:miter lim="800000"/>
            <a:headEnd/>
            <a:tailEnd/>
          </a:ln>
        </xdr:spPr>
      </xdr:sp>
      <xdr:sp macro="" textlink="">
        <xdr:nvSpPr>
          <xdr:cNvPr id="12" name="Line 14">
            <a:extLst>
              <a:ext uri="{FF2B5EF4-FFF2-40B4-BE49-F238E27FC236}">
                <a16:creationId xmlns:a16="http://schemas.microsoft.com/office/drawing/2014/main" id="{00000000-0008-0000-0300-00000C000000}"/>
              </a:ext>
            </a:extLst>
          </xdr:cNvPr>
          <xdr:cNvSpPr>
            <a:spLocks noChangeShapeType="1"/>
          </xdr:cNvSpPr>
        </xdr:nvSpPr>
        <xdr:spPr bwMode="auto">
          <a:xfrm>
            <a:off x="472" y="432"/>
            <a:ext cx="113" cy="1"/>
          </a:xfrm>
          <a:prstGeom prst="line">
            <a:avLst/>
          </a:prstGeom>
          <a:noFill/>
          <a:ln w="9525">
            <a:solidFill>
              <a:srgbClr val="000000"/>
            </a:solidFill>
            <a:prstDash val="dash"/>
            <a:round/>
            <a:headEnd/>
            <a:tailEnd/>
          </a:ln>
        </xdr:spPr>
      </xdr:sp>
      <xdr:sp macro="" textlink="">
        <xdr:nvSpPr>
          <xdr:cNvPr id="13" name="Line 15">
            <a:extLst>
              <a:ext uri="{FF2B5EF4-FFF2-40B4-BE49-F238E27FC236}">
                <a16:creationId xmlns:a16="http://schemas.microsoft.com/office/drawing/2014/main" id="{00000000-0008-0000-0300-00000D000000}"/>
              </a:ext>
            </a:extLst>
          </xdr:cNvPr>
          <xdr:cNvSpPr>
            <a:spLocks noChangeShapeType="1"/>
          </xdr:cNvSpPr>
        </xdr:nvSpPr>
        <xdr:spPr bwMode="auto">
          <a:xfrm flipV="1">
            <a:off x="467" y="396"/>
            <a:ext cx="0" cy="80"/>
          </a:xfrm>
          <a:prstGeom prst="line">
            <a:avLst/>
          </a:prstGeom>
          <a:noFill/>
          <a:ln w="9525">
            <a:solidFill>
              <a:srgbClr val="000000"/>
            </a:solidFill>
            <a:prstDash val="dash"/>
            <a:round/>
            <a:headEnd/>
            <a:tailEnd/>
          </a:ln>
        </xdr:spPr>
      </xdr:sp>
      <xdr:sp macro="" textlink="">
        <xdr:nvSpPr>
          <xdr:cNvPr id="14" name="Line 16">
            <a:extLst>
              <a:ext uri="{FF2B5EF4-FFF2-40B4-BE49-F238E27FC236}">
                <a16:creationId xmlns:a16="http://schemas.microsoft.com/office/drawing/2014/main" id="{00000000-0008-0000-0300-00000E000000}"/>
              </a:ext>
            </a:extLst>
          </xdr:cNvPr>
          <xdr:cNvSpPr>
            <a:spLocks noChangeShapeType="1"/>
          </xdr:cNvSpPr>
        </xdr:nvSpPr>
        <xdr:spPr bwMode="auto">
          <a:xfrm>
            <a:off x="245" y="595"/>
            <a:ext cx="99" cy="1"/>
          </a:xfrm>
          <a:prstGeom prst="line">
            <a:avLst/>
          </a:prstGeom>
          <a:noFill/>
          <a:ln w="9525">
            <a:solidFill>
              <a:srgbClr val="000000"/>
            </a:solidFill>
            <a:prstDash val="dash"/>
            <a:round/>
            <a:headEnd/>
            <a:tailEnd/>
          </a:ln>
        </xdr:spPr>
      </xdr:sp>
      <xdr:sp macro="" textlink="">
        <xdr:nvSpPr>
          <xdr:cNvPr id="15" name="Line 17">
            <a:extLst>
              <a:ext uri="{FF2B5EF4-FFF2-40B4-BE49-F238E27FC236}">
                <a16:creationId xmlns:a16="http://schemas.microsoft.com/office/drawing/2014/main" id="{00000000-0008-0000-0300-00000F000000}"/>
              </a:ext>
            </a:extLst>
          </xdr:cNvPr>
          <xdr:cNvSpPr>
            <a:spLocks noChangeShapeType="1"/>
          </xdr:cNvSpPr>
        </xdr:nvSpPr>
        <xdr:spPr bwMode="auto">
          <a:xfrm>
            <a:off x="247" y="650"/>
            <a:ext cx="88" cy="0"/>
          </a:xfrm>
          <a:prstGeom prst="line">
            <a:avLst/>
          </a:prstGeom>
          <a:noFill/>
          <a:ln w="25400">
            <a:solidFill>
              <a:srgbClr val="000000"/>
            </a:solidFill>
            <a:round/>
            <a:headEnd/>
            <a:tailEnd type="triangle" w="med" len="med"/>
          </a:ln>
        </xdr:spPr>
      </xdr:sp>
      <xdr:sp macro="" textlink="">
        <xdr:nvSpPr>
          <xdr:cNvPr id="16" name="Line 18">
            <a:extLst>
              <a:ext uri="{FF2B5EF4-FFF2-40B4-BE49-F238E27FC236}">
                <a16:creationId xmlns:a16="http://schemas.microsoft.com/office/drawing/2014/main" id="{00000000-0008-0000-0300-000010000000}"/>
              </a:ext>
            </a:extLst>
          </xdr:cNvPr>
          <xdr:cNvSpPr>
            <a:spLocks noChangeShapeType="1"/>
          </xdr:cNvSpPr>
        </xdr:nvSpPr>
        <xdr:spPr bwMode="auto">
          <a:xfrm flipV="1">
            <a:off x="332" y="594"/>
            <a:ext cx="0" cy="72"/>
          </a:xfrm>
          <a:prstGeom prst="line">
            <a:avLst/>
          </a:prstGeom>
          <a:noFill/>
          <a:ln w="9525">
            <a:solidFill>
              <a:srgbClr val="000000"/>
            </a:solidFill>
            <a:prstDash val="dash"/>
            <a:round/>
            <a:headEnd/>
            <a:tailEnd/>
          </a:ln>
        </xdr:spPr>
      </xdr:sp>
      <xdr:sp macro="" textlink="">
        <xdr:nvSpPr>
          <xdr:cNvPr id="17" name="Line 19">
            <a:extLst>
              <a:ext uri="{FF2B5EF4-FFF2-40B4-BE49-F238E27FC236}">
                <a16:creationId xmlns:a16="http://schemas.microsoft.com/office/drawing/2014/main" id="{00000000-0008-0000-0300-000011000000}"/>
              </a:ext>
            </a:extLst>
          </xdr:cNvPr>
          <xdr:cNvSpPr>
            <a:spLocks noChangeShapeType="1"/>
          </xdr:cNvSpPr>
        </xdr:nvSpPr>
        <xdr:spPr bwMode="auto">
          <a:xfrm flipV="1">
            <a:off x="245" y="596"/>
            <a:ext cx="0" cy="52"/>
          </a:xfrm>
          <a:prstGeom prst="line">
            <a:avLst/>
          </a:prstGeom>
          <a:noFill/>
          <a:ln w="25400">
            <a:solidFill>
              <a:srgbClr val="000000"/>
            </a:solidFill>
            <a:round/>
            <a:headEnd/>
            <a:tailEnd type="triangle" w="med" len="med"/>
          </a:ln>
        </xdr:spPr>
      </xdr:sp>
      <xdr:sp macro="" textlink="">
        <xdr:nvSpPr>
          <xdr:cNvPr id="18" name="Text Box 20">
            <a:extLst>
              <a:ext uri="{FF2B5EF4-FFF2-40B4-BE49-F238E27FC236}">
                <a16:creationId xmlns:a16="http://schemas.microsoft.com/office/drawing/2014/main" id="{00000000-0008-0000-0300-000012000000}"/>
              </a:ext>
            </a:extLst>
          </xdr:cNvPr>
          <xdr:cNvSpPr txBox="1">
            <a:spLocks noChangeArrowheads="1"/>
          </xdr:cNvSpPr>
        </xdr:nvSpPr>
        <xdr:spPr bwMode="auto">
          <a:xfrm>
            <a:off x="414" y="617"/>
            <a:ext cx="36"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Mb</a:t>
            </a:r>
          </a:p>
        </xdr:txBody>
      </xdr:sp>
      <xdr:sp macro="" textlink="">
        <xdr:nvSpPr>
          <xdr:cNvPr id="19" name="Text Box 21">
            <a:extLst>
              <a:ext uri="{FF2B5EF4-FFF2-40B4-BE49-F238E27FC236}">
                <a16:creationId xmlns:a16="http://schemas.microsoft.com/office/drawing/2014/main" id="{00000000-0008-0000-0300-000013000000}"/>
              </a:ext>
            </a:extLst>
          </xdr:cNvPr>
          <xdr:cNvSpPr txBox="1">
            <a:spLocks noChangeArrowheads="1"/>
          </xdr:cNvSpPr>
        </xdr:nvSpPr>
        <xdr:spPr bwMode="auto">
          <a:xfrm>
            <a:off x="517" y="519"/>
            <a:ext cx="45"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Mch</a:t>
            </a:r>
          </a:p>
        </xdr:txBody>
      </xdr:sp>
      <xdr:sp macro="" textlink="">
        <xdr:nvSpPr>
          <xdr:cNvPr id="20" name="Text Box 22">
            <a:extLst>
              <a:ext uri="{FF2B5EF4-FFF2-40B4-BE49-F238E27FC236}">
                <a16:creationId xmlns:a16="http://schemas.microsoft.com/office/drawing/2014/main" id="{00000000-0008-0000-0300-000014000000}"/>
              </a:ext>
            </a:extLst>
          </xdr:cNvPr>
          <xdr:cNvSpPr txBox="1">
            <a:spLocks noChangeArrowheads="1"/>
          </xdr:cNvSpPr>
        </xdr:nvSpPr>
        <xdr:spPr bwMode="auto">
          <a:xfrm>
            <a:off x="475" y="396"/>
            <a:ext cx="32"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Tc</a:t>
            </a:r>
          </a:p>
        </xdr:txBody>
      </xdr:sp>
      <xdr:sp macro="" textlink="">
        <xdr:nvSpPr>
          <xdr:cNvPr id="21" name="Text Box 23">
            <a:extLst>
              <a:ext uri="{FF2B5EF4-FFF2-40B4-BE49-F238E27FC236}">
                <a16:creationId xmlns:a16="http://schemas.microsoft.com/office/drawing/2014/main" id="{00000000-0008-0000-0300-000015000000}"/>
              </a:ext>
            </a:extLst>
          </xdr:cNvPr>
          <xdr:cNvSpPr txBox="1">
            <a:spLocks noChangeArrowheads="1"/>
          </xdr:cNvSpPr>
        </xdr:nvSpPr>
        <xdr:spPr bwMode="auto">
          <a:xfrm>
            <a:off x="291" y="560"/>
            <a:ext cx="33"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Fb</a:t>
            </a:r>
          </a:p>
        </xdr:txBody>
      </xdr:sp>
      <xdr:sp macro="" textlink="">
        <xdr:nvSpPr>
          <xdr:cNvPr id="22" name="Text Box 24">
            <a:extLst>
              <a:ext uri="{FF2B5EF4-FFF2-40B4-BE49-F238E27FC236}">
                <a16:creationId xmlns:a16="http://schemas.microsoft.com/office/drawing/2014/main" id="{00000000-0008-0000-0300-000016000000}"/>
              </a:ext>
            </a:extLst>
          </xdr:cNvPr>
          <xdr:cNvSpPr txBox="1">
            <a:spLocks noChangeArrowheads="1"/>
          </xdr:cNvSpPr>
        </xdr:nvSpPr>
        <xdr:spPr bwMode="auto">
          <a:xfrm>
            <a:off x="244" y="604"/>
            <a:ext cx="31"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Fv</a:t>
            </a:r>
          </a:p>
        </xdr:txBody>
      </xdr:sp>
      <xdr:sp macro="" textlink="">
        <xdr:nvSpPr>
          <xdr:cNvPr id="23" name="Text Box 25">
            <a:extLst>
              <a:ext uri="{FF2B5EF4-FFF2-40B4-BE49-F238E27FC236}">
                <a16:creationId xmlns:a16="http://schemas.microsoft.com/office/drawing/2014/main" id="{00000000-0008-0000-0300-000017000000}"/>
              </a:ext>
            </a:extLst>
          </xdr:cNvPr>
          <xdr:cNvSpPr txBox="1">
            <a:spLocks noChangeArrowheads="1"/>
          </xdr:cNvSpPr>
        </xdr:nvSpPr>
        <xdr:spPr bwMode="auto">
          <a:xfrm>
            <a:off x="294" y="656"/>
            <a:ext cx="33"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Fo</a:t>
            </a:r>
          </a:p>
        </xdr:txBody>
      </xdr:sp>
      <xdr:sp macro="" textlink="">
        <xdr:nvSpPr>
          <xdr:cNvPr id="24" name="Text Box 26">
            <a:extLst>
              <a:ext uri="{FF2B5EF4-FFF2-40B4-BE49-F238E27FC236}">
                <a16:creationId xmlns:a16="http://schemas.microsoft.com/office/drawing/2014/main" id="{00000000-0008-0000-0300-000018000000}"/>
              </a:ext>
            </a:extLst>
          </xdr:cNvPr>
          <xdr:cNvSpPr txBox="1">
            <a:spLocks noChangeArrowheads="1"/>
          </xdr:cNvSpPr>
        </xdr:nvSpPr>
        <xdr:spPr bwMode="auto">
          <a:xfrm>
            <a:off x="576" y="434"/>
            <a:ext cx="41"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Tcv</a:t>
            </a:r>
          </a:p>
        </xdr:txBody>
      </xdr:sp>
      <xdr:sp macro="" textlink="">
        <xdr:nvSpPr>
          <xdr:cNvPr id="25" name="Text Box 27">
            <a:extLst>
              <a:ext uri="{FF2B5EF4-FFF2-40B4-BE49-F238E27FC236}">
                <a16:creationId xmlns:a16="http://schemas.microsoft.com/office/drawing/2014/main" id="{00000000-0008-0000-0300-000019000000}"/>
              </a:ext>
            </a:extLst>
          </xdr:cNvPr>
          <xdr:cNvSpPr txBox="1">
            <a:spLocks noChangeArrowheads="1"/>
          </xdr:cNvSpPr>
        </xdr:nvSpPr>
        <xdr:spPr bwMode="auto">
          <a:xfrm>
            <a:off x="473" y="462"/>
            <a:ext cx="43"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Tco</a:t>
            </a:r>
          </a:p>
        </xdr:txBody>
      </xdr:sp>
      <xdr:sp macro="" textlink="">
        <xdr:nvSpPr>
          <xdr:cNvPr id="26" name="Line 28">
            <a:extLst>
              <a:ext uri="{FF2B5EF4-FFF2-40B4-BE49-F238E27FC236}">
                <a16:creationId xmlns:a16="http://schemas.microsoft.com/office/drawing/2014/main" id="{00000000-0008-0000-0300-00001A000000}"/>
              </a:ext>
            </a:extLst>
          </xdr:cNvPr>
          <xdr:cNvSpPr>
            <a:spLocks noChangeShapeType="1"/>
          </xdr:cNvSpPr>
        </xdr:nvSpPr>
        <xdr:spPr bwMode="auto">
          <a:xfrm flipH="1" flipV="1">
            <a:off x="249" y="651"/>
            <a:ext cx="56" cy="88"/>
          </a:xfrm>
          <a:prstGeom prst="line">
            <a:avLst/>
          </a:prstGeom>
          <a:noFill/>
          <a:ln w="9525">
            <a:solidFill>
              <a:srgbClr val="000000"/>
            </a:solidFill>
            <a:prstDash val="dash"/>
            <a:round/>
            <a:headEnd/>
            <a:tailEnd/>
          </a:ln>
        </xdr:spPr>
      </xdr:sp>
      <xdr:sp macro="" textlink="">
        <xdr:nvSpPr>
          <xdr:cNvPr id="27" name="Line 29">
            <a:extLst>
              <a:ext uri="{FF2B5EF4-FFF2-40B4-BE49-F238E27FC236}">
                <a16:creationId xmlns:a16="http://schemas.microsoft.com/office/drawing/2014/main" id="{00000000-0008-0000-0300-00001B000000}"/>
              </a:ext>
            </a:extLst>
          </xdr:cNvPr>
          <xdr:cNvSpPr>
            <a:spLocks noChangeShapeType="1"/>
          </xdr:cNvSpPr>
        </xdr:nvSpPr>
        <xdr:spPr bwMode="auto">
          <a:xfrm flipV="1">
            <a:off x="298" y="544"/>
            <a:ext cx="325" cy="188"/>
          </a:xfrm>
          <a:prstGeom prst="line">
            <a:avLst/>
          </a:prstGeom>
          <a:noFill/>
          <a:ln w="9525">
            <a:solidFill>
              <a:srgbClr val="000000"/>
            </a:solidFill>
            <a:round/>
            <a:headEnd type="arrow" w="med" len="med"/>
            <a:tailEnd type="arrow" w="med" len="med"/>
          </a:ln>
        </xdr:spPr>
      </xdr:sp>
      <xdr:sp macro="" textlink="">
        <xdr:nvSpPr>
          <xdr:cNvPr id="28" name="Line 30">
            <a:extLst>
              <a:ext uri="{FF2B5EF4-FFF2-40B4-BE49-F238E27FC236}">
                <a16:creationId xmlns:a16="http://schemas.microsoft.com/office/drawing/2014/main" id="{00000000-0008-0000-0300-00001C000000}"/>
              </a:ext>
            </a:extLst>
          </xdr:cNvPr>
          <xdr:cNvSpPr>
            <a:spLocks noChangeShapeType="1"/>
          </xdr:cNvSpPr>
        </xdr:nvSpPr>
        <xdr:spPr bwMode="auto">
          <a:xfrm flipH="1" flipV="1">
            <a:off x="574" y="463"/>
            <a:ext cx="56" cy="88"/>
          </a:xfrm>
          <a:prstGeom prst="line">
            <a:avLst/>
          </a:prstGeom>
          <a:noFill/>
          <a:ln w="9525">
            <a:solidFill>
              <a:srgbClr val="000000"/>
            </a:solidFill>
            <a:prstDash val="dash"/>
            <a:round/>
            <a:headEnd/>
            <a:tailEnd/>
          </a:ln>
        </xdr:spPr>
      </xdr:sp>
      <xdr:sp macro="" textlink="">
        <xdr:nvSpPr>
          <xdr:cNvPr id="29" name="Line 31">
            <a:extLst>
              <a:ext uri="{FF2B5EF4-FFF2-40B4-BE49-F238E27FC236}">
                <a16:creationId xmlns:a16="http://schemas.microsoft.com/office/drawing/2014/main" id="{00000000-0008-0000-0300-00001D000000}"/>
              </a:ext>
            </a:extLst>
          </xdr:cNvPr>
          <xdr:cNvSpPr>
            <a:spLocks noChangeShapeType="1"/>
          </xdr:cNvSpPr>
        </xdr:nvSpPr>
        <xdr:spPr bwMode="auto">
          <a:xfrm flipH="1">
            <a:off x="141" y="369"/>
            <a:ext cx="100" cy="0"/>
          </a:xfrm>
          <a:prstGeom prst="line">
            <a:avLst/>
          </a:prstGeom>
          <a:noFill/>
          <a:ln w="9525">
            <a:solidFill>
              <a:srgbClr val="000000"/>
            </a:solidFill>
            <a:prstDash val="dash"/>
            <a:round/>
            <a:headEnd/>
            <a:tailEnd/>
          </a:ln>
        </xdr:spPr>
      </xdr:sp>
      <xdr:sp macro="" textlink="">
        <xdr:nvSpPr>
          <xdr:cNvPr id="30" name="Line 32">
            <a:extLst>
              <a:ext uri="{FF2B5EF4-FFF2-40B4-BE49-F238E27FC236}">
                <a16:creationId xmlns:a16="http://schemas.microsoft.com/office/drawing/2014/main" id="{00000000-0008-0000-0300-00001E000000}"/>
              </a:ext>
            </a:extLst>
          </xdr:cNvPr>
          <xdr:cNvSpPr>
            <a:spLocks noChangeShapeType="1"/>
          </xdr:cNvSpPr>
        </xdr:nvSpPr>
        <xdr:spPr bwMode="auto">
          <a:xfrm flipH="1">
            <a:off x="141" y="648"/>
            <a:ext cx="224" cy="0"/>
          </a:xfrm>
          <a:prstGeom prst="line">
            <a:avLst/>
          </a:prstGeom>
          <a:noFill/>
          <a:ln w="9525">
            <a:solidFill>
              <a:srgbClr val="000000"/>
            </a:solidFill>
            <a:prstDash val="dash"/>
            <a:round/>
            <a:headEnd/>
            <a:tailEnd/>
          </a:ln>
        </xdr:spPr>
      </xdr:sp>
      <xdr:sp macro="" textlink="">
        <xdr:nvSpPr>
          <xdr:cNvPr id="31" name="Line 33">
            <a:extLst>
              <a:ext uri="{FF2B5EF4-FFF2-40B4-BE49-F238E27FC236}">
                <a16:creationId xmlns:a16="http://schemas.microsoft.com/office/drawing/2014/main" id="{00000000-0008-0000-0300-00001F000000}"/>
              </a:ext>
            </a:extLst>
          </xdr:cNvPr>
          <xdr:cNvSpPr>
            <a:spLocks noChangeShapeType="1"/>
          </xdr:cNvSpPr>
        </xdr:nvSpPr>
        <xdr:spPr bwMode="auto">
          <a:xfrm flipV="1">
            <a:off x="150" y="369"/>
            <a:ext cx="0" cy="280"/>
          </a:xfrm>
          <a:prstGeom prst="line">
            <a:avLst/>
          </a:prstGeom>
          <a:noFill/>
          <a:ln w="9525">
            <a:solidFill>
              <a:srgbClr val="000000"/>
            </a:solidFill>
            <a:round/>
            <a:headEnd type="arrow" w="med" len="med"/>
            <a:tailEnd type="arrow" w="med" len="med"/>
          </a:ln>
        </xdr:spPr>
      </xdr:sp>
      <xdr:sp macro="" textlink="">
        <xdr:nvSpPr>
          <xdr:cNvPr id="32" name="Text Box 34">
            <a:extLst>
              <a:ext uri="{FF2B5EF4-FFF2-40B4-BE49-F238E27FC236}">
                <a16:creationId xmlns:a16="http://schemas.microsoft.com/office/drawing/2014/main" id="{00000000-0008-0000-0300-000020000000}"/>
              </a:ext>
            </a:extLst>
          </xdr:cNvPr>
          <xdr:cNvSpPr txBox="1">
            <a:spLocks noChangeArrowheads="1"/>
          </xdr:cNvSpPr>
        </xdr:nvSpPr>
        <xdr:spPr bwMode="auto">
          <a:xfrm>
            <a:off x="123" y="492"/>
            <a:ext cx="45"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Dcb</a:t>
            </a:r>
          </a:p>
        </xdr:txBody>
      </xdr:sp>
      <xdr:sp macro="" textlink="">
        <xdr:nvSpPr>
          <xdr:cNvPr id="33" name="Text Box 35">
            <a:extLst>
              <a:ext uri="{FF2B5EF4-FFF2-40B4-BE49-F238E27FC236}">
                <a16:creationId xmlns:a16="http://schemas.microsoft.com/office/drawing/2014/main" id="{00000000-0008-0000-0300-000021000000}"/>
              </a:ext>
            </a:extLst>
          </xdr:cNvPr>
          <xdr:cNvSpPr txBox="1">
            <a:spLocks noChangeArrowheads="1"/>
          </xdr:cNvSpPr>
        </xdr:nvSpPr>
        <xdr:spPr bwMode="auto">
          <a:xfrm>
            <a:off x="469" y="635"/>
            <a:ext cx="32"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Lb</a:t>
            </a:r>
          </a:p>
        </xdr:txBody>
      </xdr:sp>
      <xdr:sp macro="" textlink="">
        <xdr:nvSpPr>
          <xdr:cNvPr id="34" name="Text Box 36">
            <a:extLst>
              <a:ext uri="{FF2B5EF4-FFF2-40B4-BE49-F238E27FC236}">
                <a16:creationId xmlns:a16="http://schemas.microsoft.com/office/drawing/2014/main" id="{00000000-0008-0000-0300-000022000000}"/>
              </a:ext>
            </a:extLst>
          </xdr:cNvPr>
          <xdr:cNvSpPr txBox="1">
            <a:spLocks noChangeArrowheads="1"/>
          </xdr:cNvSpPr>
        </xdr:nvSpPr>
        <xdr:spPr bwMode="auto">
          <a:xfrm>
            <a:off x="424" y="430"/>
            <a:ext cx="23"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Symbol"/>
              </a:rPr>
              <a:t>a</a:t>
            </a:r>
          </a:p>
        </xdr:txBody>
      </xdr:sp>
      <xdr:sp macro="" textlink="">
        <xdr:nvSpPr>
          <xdr:cNvPr id="35" name="Text Box 37">
            <a:extLst>
              <a:ext uri="{FF2B5EF4-FFF2-40B4-BE49-F238E27FC236}">
                <a16:creationId xmlns:a16="http://schemas.microsoft.com/office/drawing/2014/main" id="{00000000-0008-0000-0300-000023000000}"/>
              </a:ext>
            </a:extLst>
          </xdr:cNvPr>
          <xdr:cNvSpPr txBox="1">
            <a:spLocks noChangeArrowheads="1"/>
          </xdr:cNvSpPr>
        </xdr:nvSpPr>
        <xdr:spPr bwMode="auto">
          <a:xfrm>
            <a:off x="362" y="607"/>
            <a:ext cx="21"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Symbol"/>
              </a:rPr>
              <a:t>b</a:t>
            </a:r>
          </a:p>
        </xdr:txBody>
      </xdr:sp>
      <xdr:sp macro="" textlink="">
        <xdr:nvSpPr>
          <xdr:cNvPr id="36" name="Freeform 38">
            <a:extLst>
              <a:ext uri="{FF2B5EF4-FFF2-40B4-BE49-F238E27FC236}">
                <a16:creationId xmlns:a16="http://schemas.microsoft.com/office/drawing/2014/main" id="{00000000-0008-0000-0300-000024000000}"/>
              </a:ext>
            </a:extLst>
          </xdr:cNvPr>
          <xdr:cNvSpPr>
            <a:spLocks/>
          </xdr:cNvSpPr>
        </xdr:nvSpPr>
        <xdr:spPr bwMode="auto">
          <a:xfrm>
            <a:off x="442" y="432"/>
            <a:ext cx="8" cy="27"/>
          </a:xfrm>
          <a:custGeom>
            <a:avLst/>
            <a:gdLst/>
            <a:ahLst/>
            <a:cxnLst>
              <a:cxn ang="0">
                <a:pos x="8" y="0"/>
              </a:cxn>
              <a:cxn ang="0">
                <a:pos x="1" y="14"/>
              </a:cxn>
              <a:cxn ang="0">
                <a:pos x="2" y="27"/>
              </a:cxn>
            </a:cxnLst>
            <a:rect l="0" t="0" r="r" b="b"/>
            <a:pathLst>
              <a:path w="8" h="27">
                <a:moveTo>
                  <a:pt x="8" y="0"/>
                </a:moveTo>
                <a:cubicBezTo>
                  <a:pt x="5" y="5"/>
                  <a:pt x="2" y="10"/>
                  <a:pt x="1" y="14"/>
                </a:cubicBezTo>
                <a:cubicBezTo>
                  <a:pt x="0" y="18"/>
                  <a:pt x="1" y="22"/>
                  <a:pt x="2" y="27"/>
                </a:cubicBezTo>
              </a:path>
            </a:pathLst>
          </a:custGeom>
          <a:noFill/>
          <a:ln w="9525" cap="flat" cmpd="sng">
            <a:solidFill>
              <a:srgbClr val="000000"/>
            </a:solidFill>
            <a:prstDash val="solid"/>
            <a:round/>
            <a:headEnd type="arrow" w="med" len="med"/>
            <a:tailEnd type="arrow" w="med" len="med"/>
          </a:ln>
        </xdr:spPr>
      </xdr:sp>
      <xdr:sp macro="" textlink="">
        <xdr:nvSpPr>
          <xdr:cNvPr id="37" name="Freeform 39">
            <a:extLst>
              <a:ext uri="{FF2B5EF4-FFF2-40B4-BE49-F238E27FC236}">
                <a16:creationId xmlns:a16="http://schemas.microsoft.com/office/drawing/2014/main" id="{00000000-0008-0000-0300-000025000000}"/>
              </a:ext>
            </a:extLst>
          </xdr:cNvPr>
          <xdr:cNvSpPr>
            <a:spLocks/>
          </xdr:cNvSpPr>
        </xdr:nvSpPr>
        <xdr:spPr bwMode="auto">
          <a:xfrm>
            <a:off x="348" y="597"/>
            <a:ext cx="17" cy="49"/>
          </a:xfrm>
          <a:custGeom>
            <a:avLst/>
            <a:gdLst/>
            <a:ahLst/>
            <a:cxnLst>
              <a:cxn ang="0">
                <a:pos x="0" y="0"/>
              </a:cxn>
              <a:cxn ang="0">
                <a:pos x="15" y="21"/>
              </a:cxn>
              <a:cxn ang="0">
                <a:pos x="10" y="49"/>
              </a:cxn>
            </a:cxnLst>
            <a:rect l="0" t="0" r="r" b="b"/>
            <a:pathLst>
              <a:path w="17" h="49">
                <a:moveTo>
                  <a:pt x="0" y="0"/>
                </a:moveTo>
                <a:cubicBezTo>
                  <a:pt x="6" y="6"/>
                  <a:pt x="13" y="13"/>
                  <a:pt x="15" y="21"/>
                </a:cubicBezTo>
                <a:cubicBezTo>
                  <a:pt x="17" y="29"/>
                  <a:pt x="13" y="39"/>
                  <a:pt x="10" y="49"/>
                </a:cubicBezTo>
              </a:path>
            </a:pathLst>
          </a:custGeom>
          <a:noFill/>
          <a:ln w="9525" cap="flat" cmpd="sng">
            <a:solidFill>
              <a:srgbClr val="000000"/>
            </a:solidFill>
            <a:prstDash val="solid"/>
            <a:round/>
            <a:headEnd type="arrow" w="med" len="med"/>
            <a:tailEnd type="arrow" w="med" len="med"/>
          </a:ln>
        </xdr:spPr>
      </xdr:sp>
      <xdr:sp macro="" textlink="">
        <xdr:nvSpPr>
          <xdr:cNvPr id="38" name="Line 40">
            <a:extLst>
              <a:ext uri="{FF2B5EF4-FFF2-40B4-BE49-F238E27FC236}">
                <a16:creationId xmlns:a16="http://schemas.microsoft.com/office/drawing/2014/main" id="{00000000-0008-0000-0300-000026000000}"/>
              </a:ext>
            </a:extLst>
          </xdr:cNvPr>
          <xdr:cNvSpPr>
            <a:spLocks noChangeShapeType="1"/>
          </xdr:cNvSpPr>
        </xdr:nvSpPr>
        <xdr:spPr bwMode="auto">
          <a:xfrm flipH="1" flipV="1">
            <a:off x="436" y="460"/>
            <a:ext cx="148" cy="0"/>
          </a:xfrm>
          <a:prstGeom prst="line">
            <a:avLst/>
          </a:prstGeom>
          <a:noFill/>
          <a:ln w="9525">
            <a:solidFill>
              <a:srgbClr val="000000"/>
            </a:solidFill>
            <a:prstDash val="dash"/>
            <a:round/>
            <a:headEnd/>
            <a:tailEnd/>
          </a:ln>
        </xdr:spPr>
      </xdr:sp>
      <xdr:sp macro="" textlink="">
        <xdr:nvSpPr>
          <xdr:cNvPr id="39" name="Line 41">
            <a:extLst>
              <a:ext uri="{FF2B5EF4-FFF2-40B4-BE49-F238E27FC236}">
                <a16:creationId xmlns:a16="http://schemas.microsoft.com/office/drawing/2014/main" id="{00000000-0008-0000-0300-000027000000}"/>
              </a:ext>
            </a:extLst>
          </xdr:cNvPr>
          <xdr:cNvSpPr>
            <a:spLocks noChangeShapeType="1"/>
          </xdr:cNvSpPr>
        </xdr:nvSpPr>
        <xdr:spPr bwMode="auto">
          <a:xfrm flipH="1" flipV="1">
            <a:off x="408" y="554"/>
            <a:ext cx="56" cy="88"/>
          </a:xfrm>
          <a:prstGeom prst="line">
            <a:avLst/>
          </a:prstGeom>
          <a:noFill/>
          <a:ln w="9525">
            <a:solidFill>
              <a:srgbClr val="000000"/>
            </a:solidFill>
            <a:prstDash val="dash"/>
            <a:round/>
            <a:headEnd/>
            <a:tailEnd/>
          </a:ln>
        </xdr:spPr>
      </xdr:sp>
    </xdr:grpSp>
    <xdr:clientData/>
  </xdr:twoCellAnchor>
  <xdr:twoCellAnchor>
    <xdr:from>
      <xdr:col>8</xdr:col>
      <xdr:colOff>209550</xdr:colOff>
      <xdr:row>31</xdr:row>
      <xdr:rowOff>47625</xdr:rowOff>
    </xdr:from>
    <xdr:to>
      <xdr:col>16</xdr:col>
      <xdr:colOff>581025</xdr:colOff>
      <xdr:row>55</xdr:row>
      <xdr:rowOff>114300</xdr:rowOff>
    </xdr:to>
    <xdr:grpSp>
      <xdr:nvGrpSpPr>
        <xdr:cNvPr id="40" name="Group 87">
          <a:extLst>
            <a:ext uri="{FF2B5EF4-FFF2-40B4-BE49-F238E27FC236}">
              <a16:creationId xmlns:a16="http://schemas.microsoft.com/office/drawing/2014/main" id="{00000000-0008-0000-0300-000028000000}"/>
            </a:ext>
          </a:extLst>
        </xdr:cNvPr>
        <xdr:cNvGrpSpPr>
          <a:grpSpLocks/>
        </xdr:cNvGrpSpPr>
      </xdr:nvGrpSpPr>
      <xdr:grpSpPr bwMode="auto">
        <a:xfrm>
          <a:off x="6366510" y="5602605"/>
          <a:ext cx="6688455" cy="4090035"/>
          <a:chOff x="671" y="608"/>
          <a:chExt cx="669" cy="415"/>
        </a:xfrm>
      </xdr:grpSpPr>
      <xdr:sp macro="" textlink="">
        <xdr:nvSpPr>
          <xdr:cNvPr id="41" name="Freeform 45">
            <a:extLst>
              <a:ext uri="{FF2B5EF4-FFF2-40B4-BE49-F238E27FC236}">
                <a16:creationId xmlns:a16="http://schemas.microsoft.com/office/drawing/2014/main" id="{00000000-0008-0000-0300-000029000000}"/>
              </a:ext>
            </a:extLst>
          </xdr:cNvPr>
          <xdr:cNvSpPr>
            <a:spLocks/>
          </xdr:cNvSpPr>
        </xdr:nvSpPr>
        <xdr:spPr bwMode="auto">
          <a:xfrm>
            <a:off x="955" y="647"/>
            <a:ext cx="244" cy="268"/>
          </a:xfrm>
          <a:custGeom>
            <a:avLst/>
            <a:gdLst/>
            <a:ahLst/>
            <a:cxnLst>
              <a:cxn ang="0">
                <a:pos x="0" y="268"/>
              </a:cxn>
              <a:cxn ang="0">
                <a:pos x="244" y="0"/>
              </a:cxn>
            </a:cxnLst>
            <a:rect l="0" t="0" r="r" b="b"/>
            <a:pathLst>
              <a:path w="244" h="268">
                <a:moveTo>
                  <a:pt x="0" y="268"/>
                </a:moveTo>
                <a:lnTo>
                  <a:pt x="244" y="0"/>
                </a:lnTo>
              </a:path>
            </a:pathLst>
          </a:custGeom>
          <a:noFill/>
          <a:ln w="127000">
            <a:solidFill>
              <a:srgbClr val="808080"/>
            </a:solidFill>
            <a:round/>
            <a:headEnd/>
            <a:tailEnd type="oval" w="med" len="med"/>
          </a:ln>
        </xdr:spPr>
      </xdr:sp>
      <xdr:sp macro="" textlink="">
        <xdr:nvSpPr>
          <xdr:cNvPr id="42" name="Freeform 46">
            <a:extLst>
              <a:ext uri="{FF2B5EF4-FFF2-40B4-BE49-F238E27FC236}">
                <a16:creationId xmlns:a16="http://schemas.microsoft.com/office/drawing/2014/main" id="{00000000-0008-0000-0300-00002A000000}"/>
              </a:ext>
            </a:extLst>
          </xdr:cNvPr>
          <xdr:cNvSpPr>
            <a:spLocks/>
          </xdr:cNvSpPr>
        </xdr:nvSpPr>
        <xdr:spPr bwMode="auto">
          <a:xfrm>
            <a:off x="819" y="648"/>
            <a:ext cx="378" cy="99"/>
          </a:xfrm>
          <a:custGeom>
            <a:avLst/>
            <a:gdLst/>
            <a:ahLst/>
            <a:cxnLst>
              <a:cxn ang="0">
                <a:pos x="378" y="0"/>
              </a:cxn>
              <a:cxn ang="0">
                <a:pos x="0" y="99"/>
              </a:cxn>
            </a:cxnLst>
            <a:rect l="0" t="0" r="r" b="b"/>
            <a:pathLst>
              <a:path w="378" h="99">
                <a:moveTo>
                  <a:pt x="378" y="0"/>
                </a:moveTo>
                <a:lnTo>
                  <a:pt x="0" y="99"/>
                </a:lnTo>
              </a:path>
            </a:pathLst>
          </a:custGeom>
          <a:noFill/>
          <a:ln w="38100">
            <a:solidFill>
              <a:srgbClr val="0000FF"/>
            </a:solidFill>
            <a:round/>
            <a:headEnd/>
            <a:tailEnd/>
          </a:ln>
        </xdr:spPr>
      </xdr:sp>
      <xdr:sp macro="" textlink="">
        <xdr:nvSpPr>
          <xdr:cNvPr id="43" name="AutoShape 48">
            <a:extLst>
              <a:ext uri="{FF2B5EF4-FFF2-40B4-BE49-F238E27FC236}">
                <a16:creationId xmlns:a16="http://schemas.microsoft.com/office/drawing/2014/main" id="{00000000-0008-0000-0300-00002B000000}"/>
              </a:ext>
            </a:extLst>
          </xdr:cNvPr>
          <xdr:cNvSpPr>
            <a:spLocks noChangeArrowheads="1"/>
          </xdr:cNvSpPr>
        </xdr:nvSpPr>
        <xdr:spPr bwMode="auto">
          <a:xfrm>
            <a:off x="1189" y="649"/>
            <a:ext cx="17" cy="84"/>
          </a:xfrm>
          <a:prstGeom prst="downArrow">
            <a:avLst>
              <a:gd name="adj1" fmla="val 50000"/>
              <a:gd name="adj2" fmla="val 123529"/>
            </a:avLst>
          </a:prstGeom>
          <a:solidFill>
            <a:srgbClr val="FFFFFF"/>
          </a:solidFill>
          <a:ln w="9525">
            <a:solidFill>
              <a:srgbClr val="000000"/>
            </a:solidFill>
            <a:miter lim="800000"/>
            <a:headEnd/>
            <a:tailEnd/>
          </a:ln>
        </xdr:spPr>
      </xdr:sp>
      <xdr:sp macro="" textlink="">
        <xdr:nvSpPr>
          <xdr:cNvPr id="44" name="AutoShape 49">
            <a:extLst>
              <a:ext uri="{FF2B5EF4-FFF2-40B4-BE49-F238E27FC236}">
                <a16:creationId xmlns:a16="http://schemas.microsoft.com/office/drawing/2014/main" id="{00000000-0008-0000-0300-00002C000000}"/>
              </a:ext>
            </a:extLst>
          </xdr:cNvPr>
          <xdr:cNvSpPr>
            <a:spLocks noChangeArrowheads="1"/>
          </xdr:cNvSpPr>
        </xdr:nvSpPr>
        <xdr:spPr bwMode="auto">
          <a:xfrm>
            <a:off x="1074" y="777"/>
            <a:ext cx="19" cy="89"/>
          </a:xfrm>
          <a:prstGeom prst="downArrow">
            <a:avLst>
              <a:gd name="adj1" fmla="val 50000"/>
              <a:gd name="adj2" fmla="val 117105"/>
            </a:avLst>
          </a:prstGeom>
          <a:solidFill>
            <a:srgbClr val="FFFFFF"/>
          </a:solidFill>
          <a:ln w="9525">
            <a:solidFill>
              <a:srgbClr val="000000"/>
            </a:solidFill>
            <a:miter lim="800000"/>
            <a:headEnd/>
            <a:tailEnd/>
          </a:ln>
        </xdr:spPr>
      </xdr:sp>
      <xdr:sp macro="" textlink="">
        <xdr:nvSpPr>
          <xdr:cNvPr id="45" name="AutoShape 50">
            <a:extLst>
              <a:ext uri="{FF2B5EF4-FFF2-40B4-BE49-F238E27FC236}">
                <a16:creationId xmlns:a16="http://schemas.microsoft.com/office/drawing/2014/main" id="{00000000-0008-0000-0300-00002D000000}"/>
              </a:ext>
            </a:extLst>
          </xdr:cNvPr>
          <xdr:cNvSpPr>
            <a:spLocks noChangeArrowheads="1"/>
          </xdr:cNvSpPr>
        </xdr:nvSpPr>
        <xdr:spPr bwMode="auto">
          <a:xfrm rot="-2773076">
            <a:off x="939" y="868"/>
            <a:ext cx="101" cy="21"/>
          </a:xfrm>
          <a:prstGeom prst="rightArrow">
            <a:avLst>
              <a:gd name="adj1" fmla="val 33333"/>
              <a:gd name="adj2" fmla="val 101846"/>
            </a:avLst>
          </a:prstGeom>
          <a:solidFill>
            <a:srgbClr val="FFFFFF"/>
          </a:solidFill>
          <a:ln w="9525">
            <a:solidFill>
              <a:srgbClr val="000000"/>
            </a:solidFill>
            <a:miter lim="800000"/>
            <a:headEnd/>
            <a:tailEnd/>
          </a:ln>
        </xdr:spPr>
      </xdr:sp>
      <xdr:sp macro="" textlink="">
        <xdr:nvSpPr>
          <xdr:cNvPr id="46" name="Line 51">
            <a:extLst>
              <a:ext uri="{FF2B5EF4-FFF2-40B4-BE49-F238E27FC236}">
                <a16:creationId xmlns:a16="http://schemas.microsoft.com/office/drawing/2014/main" id="{00000000-0008-0000-0300-00002E000000}"/>
              </a:ext>
            </a:extLst>
          </xdr:cNvPr>
          <xdr:cNvSpPr>
            <a:spLocks noChangeShapeType="1"/>
          </xdr:cNvSpPr>
        </xdr:nvSpPr>
        <xdr:spPr bwMode="auto">
          <a:xfrm flipH="1">
            <a:off x="1098" y="645"/>
            <a:ext cx="99" cy="0"/>
          </a:xfrm>
          <a:prstGeom prst="line">
            <a:avLst/>
          </a:prstGeom>
          <a:noFill/>
          <a:ln w="25400">
            <a:solidFill>
              <a:srgbClr val="000000"/>
            </a:solidFill>
            <a:round/>
            <a:headEnd/>
            <a:tailEnd type="triangle" w="med" len="med"/>
          </a:ln>
        </xdr:spPr>
      </xdr:sp>
      <xdr:sp macro="" textlink="">
        <xdr:nvSpPr>
          <xdr:cNvPr id="47" name="Line 52">
            <a:extLst>
              <a:ext uri="{FF2B5EF4-FFF2-40B4-BE49-F238E27FC236}">
                <a16:creationId xmlns:a16="http://schemas.microsoft.com/office/drawing/2014/main" id="{00000000-0008-0000-0300-00002F000000}"/>
              </a:ext>
            </a:extLst>
          </xdr:cNvPr>
          <xdr:cNvSpPr>
            <a:spLocks noChangeShapeType="1"/>
          </xdr:cNvSpPr>
        </xdr:nvSpPr>
        <xdr:spPr bwMode="auto">
          <a:xfrm>
            <a:off x="1202" y="648"/>
            <a:ext cx="0" cy="32"/>
          </a:xfrm>
          <a:prstGeom prst="line">
            <a:avLst/>
          </a:prstGeom>
          <a:noFill/>
          <a:ln w="25400">
            <a:solidFill>
              <a:srgbClr val="000000"/>
            </a:solidFill>
            <a:round/>
            <a:headEnd/>
            <a:tailEnd type="triangle" w="med" len="med"/>
          </a:ln>
        </xdr:spPr>
      </xdr:sp>
      <xdr:sp macro="" textlink="">
        <xdr:nvSpPr>
          <xdr:cNvPr id="48" name="AutoShape 53">
            <a:extLst>
              <a:ext uri="{FF2B5EF4-FFF2-40B4-BE49-F238E27FC236}">
                <a16:creationId xmlns:a16="http://schemas.microsoft.com/office/drawing/2014/main" id="{00000000-0008-0000-0300-000030000000}"/>
              </a:ext>
            </a:extLst>
          </xdr:cNvPr>
          <xdr:cNvSpPr>
            <a:spLocks noChangeArrowheads="1"/>
          </xdr:cNvSpPr>
        </xdr:nvSpPr>
        <xdr:spPr bwMode="auto">
          <a:xfrm rot="9918489">
            <a:off x="1095" y="652"/>
            <a:ext cx="106" cy="19"/>
          </a:xfrm>
          <a:prstGeom prst="rightArrow">
            <a:avLst>
              <a:gd name="adj1" fmla="val 33333"/>
              <a:gd name="adj2" fmla="val 118139"/>
            </a:avLst>
          </a:prstGeom>
          <a:solidFill>
            <a:srgbClr val="FFFFFF"/>
          </a:solidFill>
          <a:ln w="9525">
            <a:solidFill>
              <a:srgbClr val="000000"/>
            </a:solidFill>
            <a:miter lim="800000"/>
            <a:headEnd/>
            <a:tailEnd/>
          </a:ln>
        </xdr:spPr>
      </xdr:sp>
      <xdr:sp macro="" textlink="">
        <xdr:nvSpPr>
          <xdr:cNvPr id="49" name="Line 54">
            <a:extLst>
              <a:ext uri="{FF2B5EF4-FFF2-40B4-BE49-F238E27FC236}">
                <a16:creationId xmlns:a16="http://schemas.microsoft.com/office/drawing/2014/main" id="{00000000-0008-0000-0300-000031000000}"/>
              </a:ext>
            </a:extLst>
          </xdr:cNvPr>
          <xdr:cNvSpPr>
            <a:spLocks noChangeShapeType="1"/>
          </xdr:cNvSpPr>
        </xdr:nvSpPr>
        <xdr:spPr bwMode="auto">
          <a:xfrm>
            <a:off x="1048" y="646"/>
            <a:ext cx="113" cy="1"/>
          </a:xfrm>
          <a:prstGeom prst="line">
            <a:avLst/>
          </a:prstGeom>
          <a:noFill/>
          <a:ln w="9525">
            <a:solidFill>
              <a:srgbClr val="000000"/>
            </a:solidFill>
            <a:prstDash val="dash"/>
            <a:round/>
            <a:headEnd/>
            <a:tailEnd/>
          </a:ln>
        </xdr:spPr>
      </xdr:sp>
      <xdr:sp macro="" textlink="">
        <xdr:nvSpPr>
          <xdr:cNvPr id="50" name="Line 55">
            <a:extLst>
              <a:ext uri="{FF2B5EF4-FFF2-40B4-BE49-F238E27FC236}">
                <a16:creationId xmlns:a16="http://schemas.microsoft.com/office/drawing/2014/main" id="{00000000-0008-0000-0300-000032000000}"/>
              </a:ext>
            </a:extLst>
          </xdr:cNvPr>
          <xdr:cNvSpPr>
            <a:spLocks noChangeShapeType="1"/>
          </xdr:cNvSpPr>
        </xdr:nvSpPr>
        <xdr:spPr bwMode="auto">
          <a:xfrm flipV="1">
            <a:off x="1096" y="608"/>
            <a:ext cx="0" cy="80"/>
          </a:xfrm>
          <a:prstGeom prst="line">
            <a:avLst/>
          </a:prstGeom>
          <a:noFill/>
          <a:ln w="9525">
            <a:solidFill>
              <a:srgbClr val="000000"/>
            </a:solidFill>
            <a:prstDash val="dash"/>
            <a:round/>
            <a:headEnd/>
            <a:tailEnd/>
          </a:ln>
        </xdr:spPr>
      </xdr:sp>
      <xdr:sp macro="" textlink="">
        <xdr:nvSpPr>
          <xdr:cNvPr id="51" name="Line 56">
            <a:extLst>
              <a:ext uri="{FF2B5EF4-FFF2-40B4-BE49-F238E27FC236}">
                <a16:creationId xmlns:a16="http://schemas.microsoft.com/office/drawing/2014/main" id="{00000000-0008-0000-0300-000033000000}"/>
              </a:ext>
            </a:extLst>
          </xdr:cNvPr>
          <xdr:cNvSpPr>
            <a:spLocks noChangeShapeType="1"/>
          </xdr:cNvSpPr>
        </xdr:nvSpPr>
        <xdr:spPr bwMode="auto">
          <a:xfrm>
            <a:off x="925" y="841"/>
            <a:ext cx="99" cy="1"/>
          </a:xfrm>
          <a:prstGeom prst="line">
            <a:avLst/>
          </a:prstGeom>
          <a:noFill/>
          <a:ln w="9525">
            <a:solidFill>
              <a:srgbClr val="000000"/>
            </a:solidFill>
            <a:prstDash val="dash"/>
            <a:round/>
            <a:headEnd/>
            <a:tailEnd/>
          </a:ln>
        </xdr:spPr>
      </xdr:sp>
      <xdr:sp macro="" textlink="">
        <xdr:nvSpPr>
          <xdr:cNvPr id="52" name="Line 57">
            <a:extLst>
              <a:ext uri="{FF2B5EF4-FFF2-40B4-BE49-F238E27FC236}">
                <a16:creationId xmlns:a16="http://schemas.microsoft.com/office/drawing/2014/main" id="{00000000-0008-0000-0300-000034000000}"/>
              </a:ext>
            </a:extLst>
          </xdr:cNvPr>
          <xdr:cNvSpPr>
            <a:spLocks noChangeShapeType="1"/>
          </xdr:cNvSpPr>
        </xdr:nvSpPr>
        <xdr:spPr bwMode="auto">
          <a:xfrm>
            <a:off x="958" y="917"/>
            <a:ext cx="67" cy="0"/>
          </a:xfrm>
          <a:prstGeom prst="line">
            <a:avLst/>
          </a:prstGeom>
          <a:noFill/>
          <a:ln w="25400">
            <a:solidFill>
              <a:srgbClr val="000000"/>
            </a:solidFill>
            <a:round/>
            <a:headEnd/>
            <a:tailEnd type="triangle" w="med" len="med"/>
          </a:ln>
        </xdr:spPr>
      </xdr:sp>
      <xdr:sp macro="" textlink="">
        <xdr:nvSpPr>
          <xdr:cNvPr id="53" name="Line 58">
            <a:extLst>
              <a:ext uri="{FF2B5EF4-FFF2-40B4-BE49-F238E27FC236}">
                <a16:creationId xmlns:a16="http://schemas.microsoft.com/office/drawing/2014/main" id="{00000000-0008-0000-0300-000035000000}"/>
              </a:ext>
            </a:extLst>
          </xdr:cNvPr>
          <xdr:cNvSpPr>
            <a:spLocks noChangeShapeType="1"/>
          </xdr:cNvSpPr>
        </xdr:nvSpPr>
        <xdr:spPr bwMode="auto">
          <a:xfrm flipH="1" flipV="1">
            <a:off x="1023" y="836"/>
            <a:ext cx="1" cy="89"/>
          </a:xfrm>
          <a:prstGeom prst="line">
            <a:avLst/>
          </a:prstGeom>
          <a:noFill/>
          <a:ln w="9525">
            <a:solidFill>
              <a:srgbClr val="000000"/>
            </a:solidFill>
            <a:prstDash val="dash"/>
            <a:round/>
            <a:headEnd/>
            <a:tailEnd/>
          </a:ln>
        </xdr:spPr>
      </xdr:sp>
      <xdr:sp macro="" textlink="">
        <xdr:nvSpPr>
          <xdr:cNvPr id="54" name="Line 59">
            <a:extLst>
              <a:ext uri="{FF2B5EF4-FFF2-40B4-BE49-F238E27FC236}">
                <a16:creationId xmlns:a16="http://schemas.microsoft.com/office/drawing/2014/main" id="{00000000-0008-0000-0300-000036000000}"/>
              </a:ext>
            </a:extLst>
          </xdr:cNvPr>
          <xdr:cNvSpPr>
            <a:spLocks noChangeShapeType="1"/>
          </xdr:cNvSpPr>
        </xdr:nvSpPr>
        <xdr:spPr bwMode="auto">
          <a:xfrm flipV="1">
            <a:off x="955" y="840"/>
            <a:ext cx="0" cy="71"/>
          </a:xfrm>
          <a:prstGeom prst="line">
            <a:avLst/>
          </a:prstGeom>
          <a:noFill/>
          <a:ln w="25400">
            <a:solidFill>
              <a:srgbClr val="000000"/>
            </a:solidFill>
            <a:round/>
            <a:headEnd/>
            <a:tailEnd type="triangle" w="med" len="med"/>
          </a:ln>
        </xdr:spPr>
      </xdr:sp>
      <xdr:sp macro="" textlink="">
        <xdr:nvSpPr>
          <xdr:cNvPr id="55" name="Text Box 60">
            <a:extLst>
              <a:ext uri="{FF2B5EF4-FFF2-40B4-BE49-F238E27FC236}">
                <a16:creationId xmlns:a16="http://schemas.microsoft.com/office/drawing/2014/main" id="{00000000-0008-0000-0300-000037000000}"/>
              </a:ext>
            </a:extLst>
          </xdr:cNvPr>
          <xdr:cNvSpPr txBox="1">
            <a:spLocks noChangeArrowheads="1"/>
          </xdr:cNvSpPr>
        </xdr:nvSpPr>
        <xdr:spPr bwMode="auto">
          <a:xfrm>
            <a:off x="1090" y="816"/>
            <a:ext cx="35"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Mb</a:t>
            </a:r>
          </a:p>
        </xdr:txBody>
      </xdr:sp>
      <xdr:sp macro="" textlink="">
        <xdr:nvSpPr>
          <xdr:cNvPr id="56" name="Text Box 61">
            <a:extLst>
              <a:ext uri="{FF2B5EF4-FFF2-40B4-BE49-F238E27FC236}">
                <a16:creationId xmlns:a16="http://schemas.microsoft.com/office/drawing/2014/main" id="{00000000-0008-0000-0300-000038000000}"/>
              </a:ext>
            </a:extLst>
          </xdr:cNvPr>
          <xdr:cNvSpPr txBox="1">
            <a:spLocks noChangeArrowheads="1"/>
          </xdr:cNvSpPr>
        </xdr:nvSpPr>
        <xdr:spPr bwMode="auto">
          <a:xfrm>
            <a:off x="1210" y="696"/>
            <a:ext cx="44"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Mch</a:t>
            </a:r>
          </a:p>
        </xdr:txBody>
      </xdr:sp>
      <xdr:sp macro="" textlink="">
        <xdr:nvSpPr>
          <xdr:cNvPr id="57" name="Text Box 62">
            <a:extLst>
              <a:ext uri="{FF2B5EF4-FFF2-40B4-BE49-F238E27FC236}">
                <a16:creationId xmlns:a16="http://schemas.microsoft.com/office/drawing/2014/main" id="{00000000-0008-0000-0300-000039000000}"/>
              </a:ext>
            </a:extLst>
          </xdr:cNvPr>
          <xdr:cNvSpPr txBox="1">
            <a:spLocks noChangeArrowheads="1"/>
          </xdr:cNvSpPr>
        </xdr:nvSpPr>
        <xdr:spPr bwMode="auto">
          <a:xfrm>
            <a:off x="1062" y="654"/>
            <a:ext cx="31"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Tc</a:t>
            </a:r>
          </a:p>
        </xdr:txBody>
      </xdr:sp>
      <xdr:sp macro="" textlink="">
        <xdr:nvSpPr>
          <xdr:cNvPr id="58" name="Text Box 63">
            <a:extLst>
              <a:ext uri="{FF2B5EF4-FFF2-40B4-BE49-F238E27FC236}">
                <a16:creationId xmlns:a16="http://schemas.microsoft.com/office/drawing/2014/main" id="{00000000-0008-0000-0300-00003A000000}"/>
              </a:ext>
            </a:extLst>
          </xdr:cNvPr>
          <xdr:cNvSpPr txBox="1">
            <a:spLocks noChangeArrowheads="1"/>
          </xdr:cNvSpPr>
        </xdr:nvSpPr>
        <xdr:spPr bwMode="auto">
          <a:xfrm>
            <a:off x="986" y="809"/>
            <a:ext cx="33"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Fb</a:t>
            </a:r>
          </a:p>
        </xdr:txBody>
      </xdr:sp>
      <xdr:sp macro="" textlink="">
        <xdr:nvSpPr>
          <xdr:cNvPr id="59" name="Text Box 64">
            <a:extLst>
              <a:ext uri="{FF2B5EF4-FFF2-40B4-BE49-F238E27FC236}">
                <a16:creationId xmlns:a16="http://schemas.microsoft.com/office/drawing/2014/main" id="{00000000-0008-0000-0300-00003B000000}"/>
              </a:ext>
            </a:extLst>
          </xdr:cNvPr>
          <xdr:cNvSpPr txBox="1">
            <a:spLocks noChangeArrowheads="1"/>
          </xdr:cNvSpPr>
        </xdr:nvSpPr>
        <xdr:spPr bwMode="auto">
          <a:xfrm>
            <a:off x="958" y="848"/>
            <a:ext cx="30"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Fv</a:t>
            </a:r>
          </a:p>
        </xdr:txBody>
      </xdr:sp>
      <xdr:sp macro="" textlink="">
        <xdr:nvSpPr>
          <xdr:cNvPr id="60" name="Text Box 65">
            <a:extLst>
              <a:ext uri="{FF2B5EF4-FFF2-40B4-BE49-F238E27FC236}">
                <a16:creationId xmlns:a16="http://schemas.microsoft.com/office/drawing/2014/main" id="{00000000-0008-0000-0300-00003C000000}"/>
              </a:ext>
            </a:extLst>
          </xdr:cNvPr>
          <xdr:cNvSpPr txBox="1">
            <a:spLocks noChangeArrowheads="1"/>
          </xdr:cNvSpPr>
        </xdr:nvSpPr>
        <xdr:spPr bwMode="auto">
          <a:xfrm>
            <a:off x="987" y="918"/>
            <a:ext cx="33"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Fo</a:t>
            </a:r>
          </a:p>
        </xdr:txBody>
      </xdr:sp>
      <xdr:sp macro="" textlink="">
        <xdr:nvSpPr>
          <xdr:cNvPr id="61" name="Text Box 66">
            <a:extLst>
              <a:ext uri="{FF2B5EF4-FFF2-40B4-BE49-F238E27FC236}">
                <a16:creationId xmlns:a16="http://schemas.microsoft.com/office/drawing/2014/main" id="{00000000-0008-0000-0300-00003D000000}"/>
              </a:ext>
            </a:extLst>
          </xdr:cNvPr>
          <xdr:cNvSpPr txBox="1">
            <a:spLocks noChangeArrowheads="1"/>
          </xdr:cNvSpPr>
        </xdr:nvSpPr>
        <xdr:spPr bwMode="auto">
          <a:xfrm>
            <a:off x="1203" y="649"/>
            <a:ext cx="40"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Tcv</a:t>
            </a:r>
          </a:p>
        </xdr:txBody>
      </xdr:sp>
      <xdr:sp macro="" textlink="">
        <xdr:nvSpPr>
          <xdr:cNvPr id="62" name="Text Box 67">
            <a:extLst>
              <a:ext uri="{FF2B5EF4-FFF2-40B4-BE49-F238E27FC236}">
                <a16:creationId xmlns:a16="http://schemas.microsoft.com/office/drawing/2014/main" id="{00000000-0008-0000-0300-00003E000000}"/>
              </a:ext>
            </a:extLst>
          </xdr:cNvPr>
          <xdr:cNvSpPr txBox="1">
            <a:spLocks noChangeArrowheads="1"/>
          </xdr:cNvSpPr>
        </xdr:nvSpPr>
        <xdr:spPr bwMode="auto">
          <a:xfrm>
            <a:off x="1107" y="612"/>
            <a:ext cx="42"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Tco</a:t>
            </a:r>
          </a:p>
        </xdr:txBody>
      </xdr:sp>
      <xdr:sp macro="" textlink="">
        <xdr:nvSpPr>
          <xdr:cNvPr id="63" name="Line 68">
            <a:extLst>
              <a:ext uri="{FF2B5EF4-FFF2-40B4-BE49-F238E27FC236}">
                <a16:creationId xmlns:a16="http://schemas.microsoft.com/office/drawing/2014/main" id="{00000000-0008-0000-0300-00003F000000}"/>
              </a:ext>
            </a:extLst>
          </xdr:cNvPr>
          <xdr:cNvSpPr>
            <a:spLocks noChangeShapeType="1"/>
          </xdr:cNvSpPr>
        </xdr:nvSpPr>
        <xdr:spPr bwMode="auto">
          <a:xfrm flipH="1" flipV="1">
            <a:off x="958" y="917"/>
            <a:ext cx="69" cy="80"/>
          </a:xfrm>
          <a:prstGeom prst="line">
            <a:avLst/>
          </a:prstGeom>
          <a:noFill/>
          <a:ln w="9525">
            <a:solidFill>
              <a:srgbClr val="000000"/>
            </a:solidFill>
            <a:prstDash val="dash"/>
            <a:round/>
            <a:headEnd/>
            <a:tailEnd/>
          </a:ln>
        </xdr:spPr>
      </xdr:sp>
      <xdr:sp macro="" textlink="">
        <xdr:nvSpPr>
          <xdr:cNvPr id="64" name="Line 69">
            <a:extLst>
              <a:ext uri="{FF2B5EF4-FFF2-40B4-BE49-F238E27FC236}">
                <a16:creationId xmlns:a16="http://schemas.microsoft.com/office/drawing/2014/main" id="{00000000-0008-0000-0300-000040000000}"/>
              </a:ext>
            </a:extLst>
          </xdr:cNvPr>
          <xdr:cNvSpPr>
            <a:spLocks noChangeShapeType="1"/>
          </xdr:cNvSpPr>
        </xdr:nvSpPr>
        <xdr:spPr bwMode="auto">
          <a:xfrm flipV="1">
            <a:off x="1024" y="712"/>
            <a:ext cx="256" cy="280"/>
          </a:xfrm>
          <a:prstGeom prst="line">
            <a:avLst/>
          </a:prstGeom>
          <a:noFill/>
          <a:ln w="9525">
            <a:solidFill>
              <a:srgbClr val="000000"/>
            </a:solidFill>
            <a:round/>
            <a:headEnd type="arrow" w="med" len="med"/>
            <a:tailEnd type="arrow" w="med" len="med"/>
          </a:ln>
        </xdr:spPr>
      </xdr:sp>
      <xdr:sp macro="" textlink="">
        <xdr:nvSpPr>
          <xdr:cNvPr id="65" name="Line 70">
            <a:extLst>
              <a:ext uri="{FF2B5EF4-FFF2-40B4-BE49-F238E27FC236}">
                <a16:creationId xmlns:a16="http://schemas.microsoft.com/office/drawing/2014/main" id="{00000000-0008-0000-0300-000041000000}"/>
              </a:ext>
            </a:extLst>
          </xdr:cNvPr>
          <xdr:cNvSpPr>
            <a:spLocks noChangeShapeType="1"/>
          </xdr:cNvSpPr>
        </xdr:nvSpPr>
        <xdr:spPr bwMode="auto">
          <a:xfrm flipH="1" flipV="1">
            <a:off x="1198" y="648"/>
            <a:ext cx="142" cy="108"/>
          </a:xfrm>
          <a:prstGeom prst="line">
            <a:avLst/>
          </a:prstGeom>
          <a:noFill/>
          <a:ln w="9525">
            <a:solidFill>
              <a:srgbClr val="000000"/>
            </a:solidFill>
            <a:prstDash val="dash"/>
            <a:round/>
            <a:headEnd/>
            <a:tailEnd/>
          </a:ln>
        </xdr:spPr>
      </xdr:sp>
      <xdr:sp macro="" textlink="">
        <xdr:nvSpPr>
          <xdr:cNvPr id="66" name="Line 72">
            <a:extLst>
              <a:ext uri="{FF2B5EF4-FFF2-40B4-BE49-F238E27FC236}">
                <a16:creationId xmlns:a16="http://schemas.microsoft.com/office/drawing/2014/main" id="{00000000-0008-0000-0300-000042000000}"/>
              </a:ext>
            </a:extLst>
          </xdr:cNvPr>
          <xdr:cNvSpPr>
            <a:spLocks noChangeShapeType="1"/>
          </xdr:cNvSpPr>
        </xdr:nvSpPr>
        <xdr:spPr bwMode="auto">
          <a:xfrm flipH="1">
            <a:off x="845" y="918"/>
            <a:ext cx="224" cy="0"/>
          </a:xfrm>
          <a:prstGeom prst="line">
            <a:avLst/>
          </a:prstGeom>
          <a:noFill/>
          <a:ln w="9525">
            <a:solidFill>
              <a:srgbClr val="000000"/>
            </a:solidFill>
            <a:prstDash val="dash"/>
            <a:round/>
            <a:headEnd/>
            <a:tailEnd/>
          </a:ln>
        </xdr:spPr>
      </xdr:sp>
      <xdr:sp macro="" textlink="">
        <xdr:nvSpPr>
          <xdr:cNvPr id="67" name="Text Box 74">
            <a:extLst>
              <a:ext uri="{FF2B5EF4-FFF2-40B4-BE49-F238E27FC236}">
                <a16:creationId xmlns:a16="http://schemas.microsoft.com/office/drawing/2014/main" id="{00000000-0008-0000-0300-000043000000}"/>
              </a:ext>
            </a:extLst>
          </xdr:cNvPr>
          <xdr:cNvSpPr txBox="1">
            <a:spLocks noChangeArrowheads="1"/>
          </xdr:cNvSpPr>
        </xdr:nvSpPr>
        <xdr:spPr bwMode="auto">
          <a:xfrm>
            <a:off x="726" y="942"/>
            <a:ext cx="44"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Dcb</a:t>
            </a:r>
          </a:p>
        </xdr:txBody>
      </xdr:sp>
      <xdr:sp macro="" textlink="">
        <xdr:nvSpPr>
          <xdr:cNvPr id="68" name="Text Box 75">
            <a:extLst>
              <a:ext uri="{FF2B5EF4-FFF2-40B4-BE49-F238E27FC236}">
                <a16:creationId xmlns:a16="http://schemas.microsoft.com/office/drawing/2014/main" id="{00000000-0008-0000-0300-000044000000}"/>
              </a:ext>
            </a:extLst>
          </xdr:cNvPr>
          <xdr:cNvSpPr txBox="1">
            <a:spLocks noChangeArrowheads="1"/>
          </xdr:cNvSpPr>
        </xdr:nvSpPr>
        <xdr:spPr bwMode="auto">
          <a:xfrm>
            <a:off x="1165" y="837"/>
            <a:ext cx="31"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Arial"/>
                <a:cs typeface="Arial"/>
              </a:rPr>
              <a:t>Lb</a:t>
            </a:r>
          </a:p>
        </xdr:txBody>
      </xdr:sp>
      <xdr:sp macro="" textlink="">
        <xdr:nvSpPr>
          <xdr:cNvPr id="69" name="Text Box 76">
            <a:extLst>
              <a:ext uri="{FF2B5EF4-FFF2-40B4-BE49-F238E27FC236}">
                <a16:creationId xmlns:a16="http://schemas.microsoft.com/office/drawing/2014/main" id="{00000000-0008-0000-0300-000045000000}"/>
              </a:ext>
            </a:extLst>
          </xdr:cNvPr>
          <xdr:cNvSpPr txBox="1">
            <a:spLocks noChangeArrowheads="1"/>
          </xdr:cNvSpPr>
        </xdr:nvSpPr>
        <xdr:spPr bwMode="auto">
          <a:xfrm>
            <a:off x="1022" y="650"/>
            <a:ext cx="23" cy="28"/>
          </a:xfrm>
          <a:prstGeom prst="rect">
            <a:avLst/>
          </a:prstGeom>
          <a:noFill/>
          <a:ln w="9525">
            <a:noFill/>
            <a:miter lim="800000"/>
            <a:headEnd/>
            <a:tailEnd/>
          </a:ln>
        </xdr:spPr>
        <xdr:txBody>
          <a:bodyPr vertOverflow="clip" wrap="square" lIns="36576" tIns="27432" rIns="0" bIns="0" anchor="t" upright="1"/>
          <a:lstStyle/>
          <a:p>
            <a:pPr algn="l" rtl="0">
              <a:defRPr sz="1000"/>
            </a:pPr>
            <a:r>
              <a:rPr lang="it-IT" sz="1400" b="0" i="0" u="none" strike="noStrike" baseline="0">
                <a:solidFill>
                  <a:srgbClr val="000000"/>
                </a:solidFill>
                <a:latin typeface="Symbol"/>
              </a:rPr>
              <a:t>a</a:t>
            </a:r>
          </a:p>
        </xdr:txBody>
      </xdr:sp>
      <xdr:sp macro="" textlink="">
        <xdr:nvSpPr>
          <xdr:cNvPr id="70" name="Text Box 77">
            <a:extLst>
              <a:ext uri="{FF2B5EF4-FFF2-40B4-BE49-F238E27FC236}">
                <a16:creationId xmlns:a16="http://schemas.microsoft.com/office/drawing/2014/main" id="{00000000-0008-0000-0300-000046000000}"/>
              </a:ext>
            </a:extLst>
          </xdr:cNvPr>
          <xdr:cNvSpPr txBox="1">
            <a:spLocks noChangeArrowheads="1"/>
          </xdr:cNvSpPr>
        </xdr:nvSpPr>
        <xdr:spPr bwMode="auto">
          <a:xfrm>
            <a:off x="1039" y="866"/>
            <a:ext cx="21" cy="28"/>
          </a:xfrm>
          <a:prstGeom prst="rect">
            <a:avLst/>
          </a:prstGeom>
          <a:noFill/>
          <a:ln w="9525">
            <a:noFill/>
            <a:miter lim="800000"/>
            <a:headEnd/>
            <a:tailEnd/>
          </a:ln>
        </xdr:spPr>
        <xdr:txBody>
          <a:bodyPr wrap="none" lIns="27432" tIns="27432" rIns="0" bIns="0" anchor="t" upright="1">
            <a:spAutoFit/>
          </a:bodyPr>
          <a:lstStyle/>
          <a:p>
            <a:pPr algn="l" rtl="0">
              <a:defRPr sz="1000"/>
            </a:pPr>
            <a:r>
              <a:rPr lang="it-IT" sz="1400" b="0" i="0" u="none" strike="noStrike" baseline="0">
                <a:solidFill>
                  <a:srgbClr val="000000"/>
                </a:solidFill>
                <a:latin typeface="Symbol"/>
              </a:rPr>
              <a:t>b</a:t>
            </a:r>
          </a:p>
        </xdr:txBody>
      </xdr:sp>
      <xdr:sp macro="" textlink="">
        <xdr:nvSpPr>
          <xdr:cNvPr id="71" name="Freeform 78">
            <a:extLst>
              <a:ext uri="{FF2B5EF4-FFF2-40B4-BE49-F238E27FC236}">
                <a16:creationId xmlns:a16="http://schemas.microsoft.com/office/drawing/2014/main" id="{00000000-0008-0000-0300-000047000000}"/>
              </a:ext>
            </a:extLst>
          </xdr:cNvPr>
          <xdr:cNvSpPr>
            <a:spLocks/>
          </xdr:cNvSpPr>
        </xdr:nvSpPr>
        <xdr:spPr bwMode="auto">
          <a:xfrm>
            <a:off x="1053" y="646"/>
            <a:ext cx="8" cy="35"/>
          </a:xfrm>
          <a:custGeom>
            <a:avLst/>
            <a:gdLst/>
            <a:ahLst/>
            <a:cxnLst>
              <a:cxn ang="0">
                <a:pos x="8" y="0"/>
              </a:cxn>
              <a:cxn ang="0">
                <a:pos x="1" y="14"/>
              </a:cxn>
              <a:cxn ang="0">
                <a:pos x="2" y="27"/>
              </a:cxn>
            </a:cxnLst>
            <a:rect l="0" t="0" r="r" b="b"/>
            <a:pathLst>
              <a:path w="8" h="27">
                <a:moveTo>
                  <a:pt x="8" y="0"/>
                </a:moveTo>
                <a:cubicBezTo>
                  <a:pt x="5" y="5"/>
                  <a:pt x="2" y="10"/>
                  <a:pt x="1" y="14"/>
                </a:cubicBezTo>
                <a:cubicBezTo>
                  <a:pt x="0" y="18"/>
                  <a:pt x="1" y="22"/>
                  <a:pt x="2" y="27"/>
                </a:cubicBezTo>
              </a:path>
            </a:pathLst>
          </a:custGeom>
          <a:noFill/>
          <a:ln w="9525" cap="flat" cmpd="sng">
            <a:solidFill>
              <a:srgbClr val="000000"/>
            </a:solidFill>
            <a:prstDash val="solid"/>
            <a:round/>
            <a:headEnd type="arrow" w="med" len="med"/>
            <a:tailEnd type="arrow" w="med" len="med"/>
          </a:ln>
        </xdr:spPr>
      </xdr:sp>
      <xdr:sp macro="" textlink="">
        <xdr:nvSpPr>
          <xdr:cNvPr id="72" name="Freeform 79">
            <a:extLst>
              <a:ext uri="{FF2B5EF4-FFF2-40B4-BE49-F238E27FC236}">
                <a16:creationId xmlns:a16="http://schemas.microsoft.com/office/drawing/2014/main" id="{00000000-0008-0000-0300-000048000000}"/>
              </a:ext>
            </a:extLst>
          </xdr:cNvPr>
          <xdr:cNvSpPr>
            <a:spLocks/>
          </xdr:cNvSpPr>
        </xdr:nvSpPr>
        <xdr:spPr bwMode="auto">
          <a:xfrm>
            <a:off x="1043" y="836"/>
            <a:ext cx="23" cy="78"/>
          </a:xfrm>
          <a:custGeom>
            <a:avLst/>
            <a:gdLst/>
            <a:ahLst/>
            <a:cxnLst>
              <a:cxn ang="0">
                <a:pos x="0" y="0"/>
              </a:cxn>
              <a:cxn ang="0">
                <a:pos x="15" y="21"/>
              </a:cxn>
              <a:cxn ang="0">
                <a:pos x="10" y="49"/>
              </a:cxn>
            </a:cxnLst>
            <a:rect l="0" t="0" r="r" b="b"/>
            <a:pathLst>
              <a:path w="17" h="49">
                <a:moveTo>
                  <a:pt x="0" y="0"/>
                </a:moveTo>
                <a:cubicBezTo>
                  <a:pt x="6" y="6"/>
                  <a:pt x="13" y="13"/>
                  <a:pt x="15" y="21"/>
                </a:cubicBezTo>
                <a:cubicBezTo>
                  <a:pt x="17" y="29"/>
                  <a:pt x="13" y="39"/>
                  <a:pt x="10" y="49"/>
                </a:cubicBezTo>
              </a:path>
            </a:pathLst>
          </a:custGeom>
          <a:noFill/>
          <a:ln w="9525" cap="flat" cmpd="sng">
            <a:solidFill>
              <a:srgbClr val="000000"/>
            </a:solidFill>
            <a:prstDash val="solid"/>
            <a:round/>
            <a:headEnd type="arrow" w="med" len="med"/>
            <a:tailEnd type="arrow" w="med" len="med"/>
          </a:ln>
        </xdr:spPr>
      </xdr:sp>
      <xdr:sp macro="" textlink="">
        <xdr:nvSpPr>
          <xdr:cNvPr id="73" name="Line 80">
            <a:extLst>
              <a:ext uri="{FF2B5EF4-FFF2-40B4-BE49-F238E27FC236}">
                <a16:creationId xmlns:a16="http://schemas.microsoft.com/office/drawing/2014/main" id="{00000000-0008-0000-0300-000049000000}"/>
              </a:ext>
            </a:extLst>
          </xdr:cNvPr>
          <xdr:cNvSpPr>
            <a:spLocks noChangeShapeType="1"/>
          </xdr:cNvSpPr>
        </xdr:nvSpPr>
        <xdr:spPr bwMode="auto">
          <a:xfrm flipH="1" flipV="1">
            <a:off x="1064" y="677"/>
            <a:ext cx="148" cy="0"/>
          </a:xfrm>
          <a:prstGeom prst="line">
            <a:avLst/>
          </a:prstGeom>
          <a:noFill/>
          <a:ln w="9525">
            <a:solidFill>
              <a:srgbClr val="000000"/>
            </a:solidFill>
            <a:prstDash val="dash"/>
            <a:round/>
            <a:headEnd/>
            <a:tailEnd/>
          </a:ln>
        </xdr:spPr>
      </xdr:sp>
      <xdr:sp macro="" textlink="">
        <xdr:nvSpPr>
          <xdr:cNvPr id="74" name="Line 81">
            <a:extLst>
              <a:ext uri="{FF2B5EF4-FFF2-40B4-BE49-F238E27FC236}">
                <a16:creationId xmlns:a16="http://schemas.microsoft.com/office/drawing/2014/main" id="{00000000-0008-0000-0300-00004A000000}"/>
              </a:ext>
            </a:extLst>
          </xdr:cNvPr>
          <xdr:cNvSpPr>
            <a:spLocks noChangeShapeType="1"/>
          </xdr:cNvSpPr>
        </xdr:nvSpPr>
        <xdr:spPr bwMode="auto">
          <a:xfrm flipH="1" flipV="1">
            <a:off x="1085" y="780"/>
            <a:ext cx="73" cy="62"/>
          </a:xfrm>
          <a:prstGeom prst="line">
            <a:avLst/>
          </a:prstGeom>
          <a:noFill/>
          <a:ln w="9525">
            <a:solidFill>
              <a:srgbClr val="000000"/>
            </a:solidFill>
            <a:prstDash val="dash"/>
            <a:round/>
            <a:headEnd/>
            <a:tailEnd/>
          </a:ln>
        </xdr:spPr>
      </xdr:sp>
      <xdr:sp macro="" textlink="">
        <xdr:nvSpPr>
          <xdr:cNvPr id="75" name="Freeform 83" descr="5%">
            <a:extLst>
              <a:ext uri="{FF2B5EF4-FFF2-40B4-BE49-F238E27FC236}">
                <a16:creationId xmlns:a16="http://schemas.microsoft.com/office/drawing/2014/main" id="{00000000-0008-0000-0300-00004B000000}"/>
              </a:ext>
            </a:extLst>
          </xdr:cNvPr>
          <xdr:cNvSpPr>
            <a:spLocks/>
          </xdr:cNvSpPr>
        </xdr:nvSpPr>
        <xdr:spPr bwMode="auto">
          <a:xfrm>
            <a:off x="714" y="705"/>
            <a:ext cx="289" cy="264"/>
          </a:xfrm>
          <a:custGeom>
            <a:avLst/>
            <a:gdLst/>
            <a:ahLst/>
            <a:cxnLst>
              <a:cxn ang="0">
                <a:pos x="289" y="264"/>
              </a:cxn>
              <a:cxn ang="0">
                <a:pos x="70" y="0"/>
              </a:cxn>
              <a:cxn ang="0">
                <a:pos x="0" y="0"/>
              </a:cxn>
              <a:cxn ang="0">
                <a:pos x="98" y="263"/>
              </a:cxn>
              <a:cxn ang="0">
                <a:pos x="289" y="264"/>
              </a:cxn>
            </a:cxnLst>
            <a:rect l="0" t="0" r="r" b="b"/>
            <a:pathLst>
              <a:path w="289" h="264">
                <a:moveTo>
                  <a:pt x="289" y="264"/>
                </a:moveTo>
                <a:lnTo>
                  <a:pt x="70" y="0"/>
                </a:lnTo>
                <a:lnTo>
                  <a:pt x="0" y="0"/>
                </a:lnTo>
                <a:lnTo>
                  <a:pt x="98" y="263"/>
                </a:lnTo>
                <a:lnTo>
                  <a:pt x="289" y="264"/>
                </a:lnTo>
                <a:close/>
              </a:path>
            </a:pathLst>
          </a:custGeom>
          <a:pattFill prst="pct5">
            <a:fgClr>
              <a:srgbClr val="000000"/>
            </a:fgClr>
            <a:bgClr>
              <a:srgbClr val="FFFFFF"/>
            </a:bgClr>
          </a:pattFill>
          <a:ln w="9525" cap="flat" cmpd="sng">
            <a:solidFill>
              <a:srgbClr val="000000"/>
            </a:solidFill>
            <a:prstDash val="solid"/>
            <a:round/>
            <a:headEnd/>
            <a:tailEnd/>
          </a:ln>
        </xdr:spPr>
      </xdr:sp>
      <xdr:sp macro="" textlink="">
        <xdr:nvSpPr>
          <xdr:cNvPr id="76" name="Text Box 84">
            <a:extLst>
              <a:ext uri="{FF2B5EF4-FFF2-40B4-BE49-F238E27FC236}">
                <a16:creationId xmlns:a16="http://schemas.microsoft.com/office/drawing/2014/main" id="{00000000-0008-0000-0300-00004C000000}"/>
              </a:ext>
            </a:extLst>
          </xdr:cNvPr>
          <xdr:cNvSpPr txBox="1">
            <a:spLocks noChangeArrowheads="1"/>
          </xdr:cNvSpPr>
        </xdr:nvSpPr>
        <xdr:spPr bwMode="auto">
          <a:xfrm>
            <a:off x="924" y="927"/>
            <a:ext cx="23" cy="28"/>
          </a:xfrm>
          <a:prstGeom prst="rect">
            <a:avLst/>
          </a:prstGeom>
          <a:noFill/>
          <a:ln w="9525">
            <a:noFill/>
            <a:miter lim="800000"/>
            <a:headEnd/>
            <a:tailEnd/>
          </a:ln>
        </xdr:spPr>
        <xdr:txBody>
          <a:bodyPr vertOverflow="clip" wrap="square" lIns="36576" tIns="27432" rIns="0" bIns="0" anchor="t" upright="1"/>
          <a:lstStyle/>
          <a:p>
            <a:pPr algn="l" rtl="0">
              <a:defRPr sz="1000"/>
            </a:pPr>
            <a:r>
              <a:rPr lang="it-IT" sz="1400" b="1" i="0" u="none" strike="noStrike" baseline="0">
                <a:solidFill>
                  <a:srgbClr val="000000"/>
                </a:solidFill>
                <a:latin typeface="Symbol"/>
              </a:rPr>
              <a:t>g</a:t>
            </a:r>
          </a:p>
        </xdr:txBody>
      </xdr:sp>
      <xdr:sp macro="" textlink="">
        <xdr:nvSpPr>
          <xdr:cNvPr id="77" name="Freeform 85">
            <a:extLst>
              <a:ext uri="{FF2B5EF4-FFF2-40B4-BE49-F238E27FC236}">
                <a16:creationId xmlns:a16="http://schemas.microsoft.com/office/drawing/2014/main" id="{00000000-0008-0000-0300-00004D000000}"/>
              </a:ext>
            </a:extLst>
          </xdr:cNvPr>
          <xdr:cNvSpPr>
            <a:spLocks/>
          </xdr:cNvSpPr>
        </xdr:nvSpPr>
        <xdr:spPr bwMode="auto">
          <a:xfrm>
            <a:off x="949" y="925"/>
            <a:ext cx="13" cy="40"/>
          </a:xfrm>
          <a:custGeom>
            <a:avLst/>
            <a:gdLst/>
            <a:ahLst/>
            <a:cxnLst>
              <a:cxn ang="0">
                <a:pos x="8" y="0"/>
              </a:cxn>
              <a:cxn ang="0">
                <a:pos x="1" y="14"/>
              </a:cxn>
              <a:cxn ang="0">
                <a:pos x="2" y="27"/>
              </a:cxn>
            </a:cxnLst>
            <a:rect l="0" t="0" r="r" b="b"/>
            <a:pathLst>
              <a:path w="8" h="27">
                <a:moveTo>
                  <a:pt x="8" y="0"/>
                </a:moveTo>
                <a:cubicBezTo>
                  <a:pt x="5" y="5"/>
                  <a:pt x="2" y="10"/>
                  <a:pt x="1" y="14"/>
                </a:cubicBezTo>
                <a:cubicBezTo>
                  <a:pt x="0" y="18"/>
                  <a:pt x="1" y="22"/>
                  <a:pt x="2" y="27"/>
                </a:cubicBezTo>
              </a:path>
            </a:pathLst>
          </a:custGeom>
          <a:noFill/>
          <a:ln w="9525" cap="flat" cmpd="sng">
            <a:solidFill>
              <a:srgbClr val="000000"/>
            </a:solidFill>
            <a:prstDash val="solid"/>
            <a:round/>
            <a:headEnd type="arrow" w="med" len="med"/>
            <a:tailEnd type="arrow" w="med" len="med"/>
          </a:ln>
        </xdr:spPr>
      </xdr:sp>
      <xdr:sp macro="" textlink="">
        <xdr:nvSpPr>
          <xdr:cNvPr id="78" name="Line 71">
            <a:extLst>
              <a:ext uri="{FF2B5EF4-FFF2-40B4-BE49-F238E27FC236}">
                <a16:creationId xmlns:a16="http://schemas.microsoft.com/office/drawing/2014/main" id="{00000000-0008-0000-0300-00004E000000}"/>
              </a:ext>
            </a:extLst>
          </xdr:cNvPr>
          <xdr:cNvSpPr>
            <a:spLocks noChangeShapeType="1"/>
          </xdr:cNvSpPr>
        </xdr:nvSpPr>
        <xdr:spPr bwMode="auto">
          <a:xfrm flipH="1">
            <a:off x="671" y="747"/>
            <a:ext cx="140" cy="94"/>
          </a:xfrm>
          <a:prstGeom prst="line">
            <a:avLst/>
          </a:prstGeom>
          <a:noFill/>
          <a:ln w="9525">
            <a:solidFill>
              <a:srgbClr val="000000"/>
            </a:solidFill>
            <a:prstDash val="dash"/>
            <a:round/>
            <a:headEnd/>
            <a:tailEnd/>
          </a:ln>
        </xdr:spPr>
      </xdr:sp>
      <xdr:sp macro="" textlink="">
        <xdr:nvSpPr>
          <xdr:cNvPr id="79" name="Line 86">
            <a:extLst>
              <a:ext uri="{FF2B5EF4-FFF2-40B4-BE49-F238E27FC236}">
                <a16:creationId xmlns:a16="http://schemas.microsoft.com/office/drawing/2014/main" id="{00000000-0008-0000-0300-00004F000000}"/>
              </a:ext>
            </a:extLst>
          </xdr:cNvPr>
          <xdr:cNvSpPr>
            <a:spLocks noChangeShapeType="1"/>
          </xdr:cNvSpPr>
        </xdr:nvSpPr>
        <xdr:spPr bwMode="auto">
          <a:xfrm flipH="1">
            <a:off x="813" y="915"/>
            <a:ext cx="143" cy="108"/>
          </a:xfrm>
          <a:prstGeom prst="line">
            <a:avLst/>
          </a:prstGeom>
          <a:noFill/>
          <a:ln w="9525">
            <a:solidFill>
              <a:srgbClr val="000000"/>
            </a:solidFill>
            <a:prstDash val="dash"/>
            <a:round/>
            <a:headEnd/>
            <a:tailEnd/>
          </a:ln>
        </xdr:spPr>
      </xdr:sp>
      <xdr:sp macro="" textlink="">
        <xdr:nvSpPr>
          <xdr:cNvPr id="80" name="Line 73">
            <a:extLst>
              <a:ext uri="{FF2B5EF4-FFF2-40B4-BE49-F238E27FC236}">
                <a16:creationId xmlns:a16="http://schemas.microsoft.com/office/drawing/2014/main" id="{00000000-0008-0000-0300-000050000000}"/>
              </a:ext>
            </a:extLst>
          </xdr:cNvPr>
          <xdr:cNvSpPr>
            <a:spLocks noChangeShapeType="1"/>
          </xdr:cNvSpPr>
        </xdr:nvSpPr>
        <xdr:spPr bwMode="auto">
          <a:xfrm flipH="1" flipV="1">
            <a:off x="687" y="833"/>
            <a:ext cx="143" cy="171"/>
          </a:xfrm>
          <a:prstGeom prst="line">
            <a:avLst/>
          </a:prstGeom>
          <a:noFill/>
          <a:ln w="9525">
            <a:solidFill>
              <a:srgbClr val="000000"/>
            </a:solidFill>
            <a:round/>
            <a:headEnd type="arrow" w="med" len="med"/>
            <a:tailEnd type="arrow" w="med" len="med"/>
          </a:ln>
        </xdr:spPr>
      </xdr:sp>
    </xdr:grpSp>
    <xdr:clientData/>
  </xdr:twoCellAnchor>
  <xdr:twoCellAnchor editAs="oneCell">
    <xdr:from>
      <xdr:col>13</xdr:col>
      <xdr:colOff>180975</xdr:colOff>
      <xdr:row>3</xdr:row>
      <xdr:rowOff>9525</xdr:rowOff>
    </xdr:from>
    <xdr:to>
      <xdr:col>14</xdr:col>
      <xdr:colOff>476250</xdr:colOff>
      <xdr:row>4</xdr:row>
      <xdr:rowOff>144780</xdr:rowOff>
    </xdr:to>
    <xdr:pic>
      <xdr:nvPicPr>
        <xdr:cNvPr id="86" name="Picture 10">
          <a:hlinkClick xmlns:r="http://schemas.openxmlformats.org/officeDocument/2006/relationships" r:id="rId1"/>
          <a:extLst>
            <a:ext uri="{FF2B5EF4-FFF2-40B4-BE49-F238E27FC236}">
              <a16:creationId xmlns:a16="http://schemas.microsoft.com/office/drawing/2014/main" id="{5A5FFB56-FC89-498D-BA67-0FE76641DF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36255" y="802005"/>
          <a:ext cx="920115" cy="318135"/>
        </a:xfrm>
        <a:prstGeom prst="rect">
          <a:avLst/>
        </a:prstGeom>
        <a:noFill/>
        <a:ln w="1">
          <a:noFill/>
          <a:miter lim="800000"/>
          <a:headEnd/>
          <a:tailEnd/>
        </a:ln>
      </xdr:spPr>
    </xdr:pic>
    <xdr:clientData/>
  </xdr:twoCellAnchor>
  <xdr:twoCellAnchor editAs="oneCell">
    <xdr:from>
      <xdr:col>12</xdr:col>
      <xdr:colOff>144780</xdr:colOff>
      <xdr:row>0</xdr:row>
      <xdr:rowOff>22860</xdr:rowOff>
    </xdr:from>
    <xdr:to>
      <xdr:col>14</xdr:col>
      <xdr:colOff>487680</xdr:colOff>
      <xdr:row>1</xdr:row>
      <xdr:rowOff>251461</xdr:rowOff>
    </xdr:to>
    <xdr:pic>
      <xdr:nvPicPr>
        <xdr:cNvPr id="87" name="Immagine 86">
          <a:extLst>
            <a:ext uri="{FF2B5EF4-FFF2-40B4-BE49-F238E27FC236}">
              <a16:creationId xmlns:a16="http://schemas.microsoft.com/office/drawing/2014/main" id="{44D02506-A95E-476B-BCB2-79BC2AD22F79}"/>
            </a:ext>
          </a:extLst>
        </xdr:cNvPr>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90460" y="22860"/>
          <a:ext cx="1592580" cy="53340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182880</xdr:colOff>
          <xdr:row>2</xdr:row>
          <xdr:rowOff>182880</xdr:rowOff>
        </xdr:from>
        <xdr:to>
          <xdr:col>16</xdr:col>
          <xdr:colOff>365760</xdr:colOff>
          <xdr:row>7</xdr:row>
          <xdr:rowOff>99060</xdr:rowOff>
        </xdr:to>
        <xdr:sp macro="" textlink="">
          <xdr:nvSpPr>
            <xdr:cNvPr id="2049" name="Object 20"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9</xdr:col>
      <xdr:colOff>428625</xdr:colOff>
      <xdr:row>12</xdr:row>
      <xdr:rowOff>166688</xdr:rowOff>
    </xdr:from>
    <xdr:to>
      <xdr:col>11</xdr:col>
      <xdr:colOff>138112</xdr:colOff>
      <xdr:row>16</xdr:row>
      <xdr:rowOff>47625</xdr:rowOff>
    </xdr:to>
    <xdr:sp macro="" textlink="">
      <xdr:nvSpPr>
        <xdr:cNvPr id="10" name="Freccia a destra 9">
          <a:extLst>
            <a:ext uri="{FF2B5EF4-FFF2-40B4-BE49-F238E27FC236}">
              <a16:creationId xmlns:a16="http://schemas.microsoft.com/office/drawing/2014/main" id="{00000000-0008-0000-0600-00000A000000}"/>
            </a:ext>
          </a:extLst>
        </xdr:cNvPr>
        <xdr:cNvSpPr/>
      </xdr:nvSpPr>
      <xdr:spPr>
        <a:xfrm>
          <a:off x="7115175" y="3405188"/>
          <a:ext cx="928687" cy="642937"/>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it-IT"/>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it-IT"/>
        </a:p>
      </xdr:txBody>
    </xdr:sp>
    <xdr:clientData/>
  </xdr:twoCellAnchor>
  <xdr:twoCellAnchor>
    <xdr:from>
      <xdr:col>11</xdr:col>
      <xdr:colOff>428626</xdr:colOff>
      <xdr:row>20</xdr:row>
      <xdr:rowOff>4763</xdr:rowOff>
    </xdr:from>
    <xdr:to>
      <xdr:col>12</xdr:col>
      <xdr:colOff>295276</xdr:colOff>
      <xdr:row>21</xdr:row>
      <xdr:rowOff>68820</xdr:rowOff>
    </xdr:to>
    <xdr:sp macro="" textlink="">
      <xdr:nvSpPr>
        <xdr:cNvPr id="4" name="CasellaDiTesto 5">
          <a:extLst>
            <a:ext uri="{FF2B5EF4-FFF2-40B4-BE49-F238E27FC236}">
              <a16:creationId xmlns:a16="http://schemas.microsoft.com/office/drawing/2014/main" id="{00000000-0008-0000-0600-000004000000}"/>
            </a:ext>
          </a:extLst>
        </xdr:cNvPr>
        <xdr:cNvSpPr txBox="1">
          <a:spLocks noChangeArrowheads="1"/>
        </xdr:cNvSpPr>
      </xdr:nvSpPr>
      <xdr:spPr bwMode="auto">
        <a:xfrm>
          <a:off x="8334376" y="4767263"/>
          <a:ext cx="476250" cy="254557"/>
        </a:xfrm>
        <a:prstGeom prst="rect">
          <a:avLst/>
        </a:prstGeom>
        <a:solidFill>
          <a:schemeClr val="bg1"/>
        </a:solidFill>
        <a:ln w="9525">
          <a:noFill/>
          <a:miter lim="800000"/>
          <a:headEnd/>
          <a:tailEnd/>
        </a:ln>
      </xdr:spPr>
      <xdr:txBody>
        <a:bodyPr wrap="square">
          <a:spAutoFit/>
        </a:bodyPr>
        <a:lstStyle>
          <a:defPPr>
            <a:defRPr lang="it-IT"/>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it-IT"/>
            <a:t>H </a:t>
          </a:r>
        </a:p>
      </xdr:txBody>
    </xdr:sp>
    <xdr:clientData/>
  </xdr:twoCellAnchor>
  <xdr:twoCellAnchor>
    <xdr:from>
      <xdr:col>9</xdr:col>
      <xdr:colOff>533400</xdr:colOff>
      <xdr:row>13</xdr:row>
      <xdr:rowOff>166688</xdr:rowOff>
    </xdr:from>
    <xdr:to>
      <xdr:col>10</xdr:col>
      <xdr:colOff>428625</xdr:colOff>
      <xdr:row>15</xdr:row>
      <xdr:rowOff>40245</xdr:rowOff>
    </xdr:to>
    <xdr:sp macro="" textlink="">
      <xdr:nvSpPr>
        <xdr:cNvPr id="5" name="CasellaDiTesto 6">
          <a:extLst>
            <a:ext uri="{FF2B5EF4-FFF2-40B4-BE49-F238E27FC236}">
              <a16:creationId xmlns:a16="http://schemas.microsoft.com/office/drawing/2014/main" id="{00000000-0008-0000-0600-000005000000}"/>
            </a:ext>
          </a:extLst>
        </xdr:cNvPr>
        <xdr:cNvSpPr txBox="1">
          <a:spLocks noChangeArrowheads="1"/>
        </xdr:cNvSpPr>
      </xdr:nvSpPr>
      <xdr:spPr bwMode="auto">
        <a:xfrm>
          <a:off x="7219950" y="3595688"/>
          <a:ext cx="504825" cy="254557"/>
        </a:xfrm>
        <a:prstGeom prst="rect">
          <a:avLst/>
        </a:prstGeom>
        <a:solidFill>
          <a:schemeClr val="bg1"/>
        </a:solidFill>
        <a:ln w="9525">
          <a:noFill/>
          <a:miter lim="800000"/>
          <a:headEnd/>
          <a:tailEnd/>
        </a:ln>
      </xdr:spPr>
      <xdr:txBody>
        <a:bodyPr wrap="square">
          <a:spAutoFit/>
        </a:bodyPr>
        <a:lstStyle>
          <a:defPPr>
            <a:defRPr lang="it-IT"/>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it-IT"/>
            <a:t>F </a:t>
          </a:r>
        </a:p>
      </xdr:txBody>
    </xdr:sp>
    <xdr:clientData/>
  </xdr:twoCellAnchor>
  <xdr:twoCellAnchor>
    <xdr:from>
      <xdr:col>7</xdr:col>
      <xdr:colOff>76193</xdr:colOff>
      <xdr:row>12</xdr:row>
      <xdr:rowOff>95251</xdr:rowOff>
    </xdr:from>
    <xdr:to>
      <xdr:col>9</xdr:col>
      <xdr:colOff>71428</xdr:colOff>
      <xdr:row>33</xdr:row>
      <xdr:rowOff>95252</xdr:rowOff>
    </xdr:to>
    <xdr:grpSp>
      <xdr:nvGrpSpPr>
        <xdr:cNvPr id="6" name="Gruppo 5">
          <a:extLst>
            <a:ext uri="{FF2B5EF4-FFF2-40B4-BE49-F238E27FC236}">
              <a16:creationId xmlns:a16="http://schemas.microsoft.com/office/drawing/2014/main" id="{00000000-0008-0000-0600-000006000000}"/>
            </a:ext>
          </a:extLst>
        </xdr:cNvPr>
        <xdr:cNvGrpSpPr>
          <a:grpSpLocks/>
        </xdr:cNvGrpSpPr>
      </xdr:nvGrpSpPr>
      <xdr:grpSpPr bwMode="auto">
        <a:xfrm>
          <a:off x="4328153" y="2305051"/>
          <a:ext cx="1313495" cy="3840481"/>
          <a:chOff x="4214810" y="2143116"/>
          <a:chExt cx="1214446" cy="4000528"/>
        </a:xfrm>
      </xdr:grpSpPr>
      <xdr:sp macro="" textlink="">
        <xdr:nvSpPr>
          <xdr:cNvPr id="19" name="Trapezio 18">
            <a:extLst>
              <a:ext uri="{FF2B5EF4-FFF2-40B4-BE49-F238E27FC236}">
                <a16:creationId xmlns:a16="http://schemas.microsoft.com/office/drawing/2014/main" id="{00000000-0008-0000-0600-000013000000}"/>
              </a:ext>
            </a:extLst>
          </xdr:cNvPr>
          <xdr:cNvSpPr/>
        </xdr:nvSpPr>
        <xdr:spPr>
          <a:xfrm>
            <a:off x="4714876" y="2643183"/>
            <a:ext cx="214315" cy="3500461"/>
          </a:xfrm>
          <a:prstGeom prst="trapezoid">
            <a:avLst/>
          </a:prstGeom>
          <a:solidFill>
            <a:srgbClr val="C0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it-IT"/>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it-IT"/>
          </a:p>
        </xdr:txBody>
      </xdr:sp>
      <xdr:sp macro="" textlink="">
        <xdr:nvSpPr>
          <xdr:cNvPr id="20" name="Ovale 19">
            <a:extLst>
              <a:ext uri="{FF2B5EF4-FFF2-40B4-BE49-F238E27FC236}">
                <a16:creationId xmlns:a16="http://schemas.microsoft.com/office/drawing/2014/main" id="{00000000-0008-0000-0600-000014000000}"/>
              </a:ext>
            </a:extLst>
          </xdr:cNvPr>
          <xdr:cNvSpPr/>
        </xdr:nvSpPr>
        <xdr:spPr>
          <a:xfrm>
            <a:off x="4214810" y="2143116"/>
            <a:ext cx="1214446" cy="1000132"/>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it-IT"/>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it-IT"/>
          </a:p>
        </xdr:txBody>
      </xdr:sp>
    </xdr:grpSp>
    <xdr:clientData/>
  </xdr:twoCellAnchor>
  <xdr:twoCellAnchor>
    <xdr:from>
      <xdr:col>1</xdr:col>
      <xdr:colOff>285750</xdr:colOff>
      <xdr:row>11</xdr:row>
      <xdr:rowOff>0</xdr:rowOff>
    </xdr:from>
    <xdr:to>
      <xdr:col>2</xdr:col>
      <xdr:colOff>247650</xdr:colOff>
      <xdr:row>34</xdr:row>
      <xdr:rowOff>119063</xdr:rowOff>
    </xdr:to>
    <xdr:sp macro="" textlink="">
      <xdr:nvSpPr>
        <xdr:cNvPr id="7" name="Rettangolo 6">
          <a:extLst>
            <a:ext uri="{FF2B5EF4-FFF2-40B4-BE49-F238E27FC236}">
              <a16:creationId xmlns:a16="http://schemas.microsoft.com/office/drawing/2014/main" id="{00000000-0008-0000-0600-000007000000}"/>
            </a:ext>
          </a:extLst>
        </xdr:cNvPr>
        <xdr:cNvSpPr/>
      </xdr:nvSpPr>
      <xdr:spPr>
        <a:xfrm>
          <a:off x="2114550" y="3048000"/>
          <a:ext cx="571500" cy="45005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it-IT"/>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it-IT"/>
        </a:p>
      </xdr:txBody>
    </xdr:sp>
    <xdr:clientData/>
  </xdr:twoCellAnchor>
  <xdr:twoCellAnchor>
    <xdr:from>
      <xdr:col>1</xdr:col>
      <xdr:colOff>0</xdr:colOff>
      <xdr:row>32</xdr:row>
      <xdr:rowOff>71438</xdr:rowOff>
    </xdr:from>
    <xdr:to>
      <xdr:col>15</xdr:col>
      <xdr:colOff>128587</xdr:colOff>
      <xdr:row>35</xdr:row>
      <xdr:rowOff>71438</xdr:rowOff>
    </xdr:to>
    <xdr:sp macro="" textlink="">
      <xdr:nvSpPr>
        <xdr:cNvPr id="8" name="Rettangolo 7">
          <a:extLst>
            <a:ext uri="{FF2B5EF4-FFF2-40B4-BE49-F238E27FC236}">
              <a16:creationId xmlns:a16="http://schemas.microsoft.com/office/drawing/2014/main" id="{00000000-0008-0000-0600-000008000000}"/>
            </a:ext>
          </a:extLst>
        </xdr:cNvPr>
        <xdr:cNvSpPr/>
      </xdr:nvSpPr>
      <xdr:spPr>
        <a:xfrm>
          <a:off x="1828800" y="7119938"/>
          <a:ext cx="8643937" cy="57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it-IT"/>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it-IT"/>
        </a:p>
      </xdr:txBody>
    </xdr:sp>
    <xdr:clientData/>
  </xdr:twoCellAnchor>
  <xdr:twoCellAnchor>
    <xdr:from>
      <xdr:col>2</xdr:col>
      <xdr:colOff>247650</xdr:colOff>
      <xdr:row>15</xdr:row>
      <xdr:rowOff>23813</xdr:rowOff>
    </xdr:from>
    <xdr:to>
      <xdr:col>8</xdr:col>
      <xdr:colOff>38100</xdr:colOff>
      <xdr:row>15</xdr:row>
      <xdr:rowOff>25400</xdr:rowOff>
    </xdr:to>
    <xdr:cxnSp macro="">
      <xdr:nvCxnSpPr>
        <xdr:cNvPr id="9" name="Connettore 1 8">
          <a:extLst>
            <a:ext uri="{FF2B5EF4-FFF2-40B4-BE49-F238E27FC236}">
              <a16:creationId xmlns:a16="http://schemas.microsoft.com/office/drawing/2014/main" id="{00000000-0008-0000-0600-000009000000}"/>
            </a:ext>
          </a:extLst>
        </xdr:cNvPr>
        <xdr:cNvCxnSpPr/>
      </xdr:nvCxnSpPr>
      <xdr:spPr>
        <a:xfrm>
          <a:off x="2686050" y="3833813"/>
          <a:ext cx="3429000" cy="1587"/>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381001</xdr:colOff>
      <xdr:row>14</xdr:row>
      <xdr:rowOff>85726</xdr:rowOff>
    </xdr:from>
    <xdr:to>
      <xdr:col>11</xdr:col>
      <xdr:colOff>381001</xdr:colOff>
      <xdr:row>32</xdr:row>
      <xdr:rowOff>14289</xdr:rowOff>
    </xdr:to>
    <xdr:cxnSp macro="">
      <xdr:nvCxnSpPr>
        <xdr:cNvPr id="11" name="Connettore 2 10">
          <a:extLst>
            <a:ext uri="{FF2B5EF4-FFF2-40B4-BE49-F238E27FC236}">
              <a16:creationId xmlns:a16="http://schemas.microsoft.com/office/drawing/2014/main" id="{00000000-0008-0000-0600-00000B000000}"/>
            </a:ext>
          </a:extLst>
        </xdr:cNvPr>
        <xdr:cNvCxnSpPr/>
      </xdr:nvCxnSpPr>
      <xdr:spPr>
        <a:xfrm flipH="1">
          <a:off x="8286751" y="3705226"/>
          <a:ext cx="0" cy="3357563"/>
        </a:xfrm>
        <a:prstGeom prst="straightConnector1">
          <a:avLst/>
        </a:prstGeom>
        <a:ln w="381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247650</xdr:colOff>
      <xdr:row>15</xdr:row>
      <xdr:rowOff>23813</xdr:rowOff>
    </xdr:from>
    <xdr:to>
      <xdr:col>8</xdr:col>
      <xdr:colOff>109537</xdr:colOff>
      <xdr:row>32</xdr:row>
      <xdr:rowOff>71438</xdr:rowOff>
    </xdr:to>
    <xdr:cxnSp macro="">
      <xdr:nvCxnSpPr>
        <xdr:cNvPr id="12" name="Connettore 1 11">
          <a:extLst>
            <a:ext uri="{FF2B5EF4-FFF2-40B4-BE49-F238E27FC236}">
              <a16:creationId xmlns:a16="http://schemas.microsoft.com/office/drawing/2014/main" id="{00000000-0008-0000-0600-00000C000000}"/>
            </a:ext>
          </a:extLst>
        </xdr:cNvPr>
        <xdr:cNvCxnSpPr/>
      </xdr:nvCxnSpPr>
      <xdr:spPr>
        <a:xfrm flipV="1">
          <a:off x="2686050" y="3833813"/>
          <a:ext cx="3500437" cy="3286125"/>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176212</xdr:colOff>
      <xdr:row>23</xdr:row>
      <xdr:rowOff>144463</xdr:rowOff>
    </xdr:from>
    <xdr:to>
      <xdr:col>8</xdr:col>
      <xdr:colOff>38100</xdr:colOff>
      <xdr:row>32</xdr:row>
      <xdr:rowOff>142875</xdr:rowOff>
    </xdr:to>
    <xdr:cxnSp macro="">
      <xdr:nvCxnSpPr>
        <xdr:cNvPr id="13" name="Connettore 1 12">
          <a:extLst>
            <a:ext uri="{FF2B5EF4-FFF2-40B4-BE49-F238E27FC236}">
              <a16:creationId xmlns:a16="http://schemas.microsoft.com/office/drawing/2014/main" id="{00000000-0008-0000-0600-00000D000000}"/>
            </a:ext>
          </a:extLst>
        </xdr:cNvPr>
        <xdr:cNvCxnSpPr/>
      </xdr:nvCxnSpPr>
      <xdr:spPr>
        <a:xfrm flipV="1">
          <a:off x="2614612" y="5478463"/>
          <a:ext cx="3500438" cy="1712912"/>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319087</xdr:colOff>
      <xdr:row>33</xdr:row>
      <xdr:rowOff>166688</xdr:rowOff>
    </xdr:from>
    <xdr:to>
      <xdr:col>8</xdr:col>
      <xdr:colOff>38100</xdr:colOff>
      <xdr:row>33</xdr:row>
      <xdr:rowOff>166688</xdr:rowOff>
    </xdr:to>
    <xdr:cxnSp macro="">
      <xdr:nvCxnSpPr>
        <xdr:cNvPr id="17" name="Connettore 2 16">
          <a:extLst>
            <a:ext uri="{FF2B5EF4-FFF2-40B4-BE49-F238E27FC236}">
              <a16:creationId xmlns:a16="http://schemas.microsoft.com/office/drawing/2014/main" id="{00000000-0008-0000-0600-000011000000}"/>
            </a:ext>
          </a:extLst>
        </xdr:cNvPr>
        <xdr:cNvCxnSpPr/>
      </xdr:nvCxnSpPr>
      <xdr:spPr>
        <a:xfrm flipH="1">
          <a:off x="2757487" y="7405688"/>
          <a:ext cx="3357563" cy="0"/>
        </a:xfrm>
        <a:prstGeom prst="straightConnector1">
          <a:avLst/>
        </a:prstGeom>
        <a:ln w="381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33</xdr:row>
      <xdr:rowOff>9525</xdr:rowOff>
    </xdr:from>
    <xdr:to>
      <xdr:col>5</xdr:col>
      <xdr:colOff>304800</xdr:colOff>
      <xdr:row>34</xdr:row>
      <xdr:rowOff>73582</xdr:rowOff>
    </xdr:to>
    <xdr:sp macro="" textlink="">
      <xdr:nvSpPr>
        <xdr:cNvPr id="18" name="CasellaDiTesto 31">
          <a:extLst>
            <a:ext uri="{FF2B5EF4-FFF2-40B4-BE49-F238E27FC236}">
              <a16:creationId xmlns:a16="http://schemas.microsoft.com/office/drawing/2014/main" id="{00000000-0008-0000-0600-000012000000}"/>
            </a:ext>
          </a:extLst>
        </xdr:cNvPr>
        <xdr:cNvSpPr txBox="1">
          <a:spLocks noChangeArrowheads="1"/>
        </xdr:cNvSpPr>
      </xdr:nvSpPr>
      <xdr:spPr bwMode="auto">
        <a:xfrm>
          <a:off x="4162425" y="7248525"/>
          <a:ext cx="409575" cy="254557"/>
        </a:xfrm>
        <a:prstGeom prst="rect">
          <a:avLst/>
        </a:prstGeom>
        <a:solidFill>
          <a:schemeClr val="bg1"/>
        </a:solidFill>
        <a:ln w="9525">
          <a:noFill/>
          <a:miter lim="800000"/>
          <a:headEnd/>
          <a:tailEnd/>
        </a:ln>
      </xdr:spPr>
      <xdr:txBody>
        <a:bodyPr wrap="square">
          <a:spAutoFit/>
        </a:bodyPr>
        <a:lstStyle>
          <a:defPPr>
            <a:defRPr lang="it-IT"/>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it-IT"/>
            <a:t>D </a:t>
          </a:r>
        </a:p>
      </xdr:txBody>
    </xdr:sp>
    <xdr:clientData/>
  </xdr:twoCellAnchor>
  <xdr:twoCellAnchor>
    <xdr:from>
      <xdr:col>9</xdr:col>
      <xdr:colOff>219077</xdr:colOff>
      <xdr:row>14</xdr:row>
      <xdr:rowOff>180975</xdr:rowOff>
    </xdr:from>
    <xdr:to>
      <xdr:col>9</xdr:col>
      <xdr:colOff>219077</xdr:colOff>
      <xdr:row>24</xdr:row>
      <xdr:rowOff>85724</xdr:rowOff>
    </xdr:to>
    <xdr:cxnSp macro="">
      <xdr:nvCxnSpPr>
        <xdr:cNvPr id="21" name="Connettore 2 20">
          <a:extLst>
            <a:ext uri="{FF2B5EF4-FFF2-40B4-BE49-F238E27FC236}">
              <a16:creationId xmlns:a16="http://schemas.microsoft.com/office/drawing/2014/main" id="{00000000-0008-0000-0600-000015000000}"/>
            </a:ext>
          </a:extLst>
        </xdr:cNvPr>
        <xdr:cNvCxnSpPr/>
      </xdr:nvCxnSpPr>
      <xdr:spPr>
        <a:xfrm rot="5400000">
          <a:off x="4781552" y="3562350"/>
          <a:ext cx="1809749" cy="0"/>
        </a:xfrm>
        <a:prstGeom prst="straightConnector1">
          <a:avLst/>
        </a:prstGeom>
        <a:ln w="381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257175</xdr:colOff>
      <xdr:row>18</xdr:row>
      <xdr:rowOff>133350</xdr:rowOff>
    </xdr:from>
    <xdr:to>
      <xdr:col>10</xdr:col>
      <xdr:colOff>123825</xdr:colOff>
      <xdr:row>20</xdr:row>
      <xdr:rowOff>6907</xdr:rowOff>
    </xdr:to>
    <xdr:sp macro="" textlink="">
      <xdr:nvSpPr>
        <xdr:cNvPr id="22" name="CasellaDiTesto 5">
          <a:extLst>
            <a:ext uri="{FF2B5EF4-FFF2-40B4-BE49-F238E27FC236}">
              <a16:creationId xmlns:a16="http://schemas.microsoft.com/office/drawing/2014/main" id="{00000000-0008-0000-0600-000016000000}"/>
            </a:ext>
          </a:extLst>
        </xdr:cNvPr>
        <xdr:cNvSpPr txBox="1">
          <a:spLocks noChangeArrowheads="1"/>
        </xdr:cNvSpPr>
      </xdr:nvSpPr>
      <xdr:spPr bwMode="auto">
        <a:xfrm>
          <a:off x="5791200" y="3371850"/>
          <a:ext cx="476250" cy="254557"/>
        </a:xfrm>
        <a:prstGeom prst="rect">
          <a:avLst/>
        </a:prstGeom>
        <a:solidFill>
          <a:schemeClr val="bg1"/>
        </a:solidFill>
        <a:ln w="9525">
          <a:noFill/>
          <a:miter lim="800000"/>
          <a:headEnd/>
          <a:tailEnd/>
        </a:ln>
      </xdr:spPr>
      <xdr:txBody>
        <a:bodyPr wrap="square">
          <a:spAutoFit/>
        </a:bodyPr>
        <a:lstStyle>
          <a:defPPr>
            <a:defRPr lang="it-IT"/>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it-IT"/>
            <a:t>HC </a:t>
          </a: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6.xml"/><Relationship Id="rId4" Type="http://schemas.openxmlformats.org/officeDocument/2006/relationships/image" Target="../media/image4.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39"/>
  <sheetViews>
    <sheetView tabSelected="1" workbookViewId="0">
      <selection activeCell="Q9" sqref="Q9"/>
    </sheetView>
  </sheetViews>
  <sheetFormatPr defaultRowHeight="14.4" x14ac:dyDescent="0.3"/>
  <cols>
    <col min="4" max="5" width="9.109375" style="1"/>
  </cols>
  <sheetData>
    <row r="1" spans="2:27" ht="25.2" customHeight="1" x14ac:dyDescent="0.3">
      <c r="B1" s="164" t="s">
        <v>82</v>
      </c>
      <c r="C1" s="192"/>
      <c r="D1" s="168" t="s">
        <v>205</v>
      </c>
      <c r="E1" s="168"/>
      <c r="F1" s="168"/>
      <c r="G1" s="168"/>
      <c r="H1" s="168"/>
      <c r="I1" s="168"/>
      <c r="J1" s="168"/>
      <c r="K1" s="168"/>
      <c r="L1" s="168"/>
      <c r="M1" s="193"/>
      <c r="N1" s="194"/>
      <c r="O1" s="195"/>
    </row>
    <row r="2" spans="2:27" ht="23.25" customHeight="1" thickBot="1" x14ac:dyDescent="0.35">
      <c r="B2" s="196"/>
      <c r="C2" s="197"/>
      <c r="D2" s="169" t="s">
        <v>204</v>
      </c>
      <c r="E2" s="169"/>
      <c r="F2" s="169"/>
      <c r="G2" s="169"/>
      <c r="H2" s="169"/>
      <c r="I2" s="169"/>
      <c r="J2" s="169"/>
      <c r="K2" s="169"/>
      <c r="L2" s="169"/>
      <c r="M2" s="198"/>
      <c r="N2" s="199"/>
      <c r="O2" s="200"/>
    </row>
    <row r="3" spans="2:27" x14ac:dyDescent="0.3">
      <c r="B3" s="201"/>
      <c r="C3" s="201"/>
      <c r="D3" s="202"/>
      <c r="E3" s="202"/>
      <c r="F3" s="201"/>
      <c r="G3" s="201"/>
      <c r="H3" s="201"/>
      <c r="I3" s="201"/>
      <c r="J3" s="201"/>
      <c r="K3" s="201"/>
      <c r="L3" s="201"/>
      <c r="M3" s="201"/>
      <c r="N3" s="201"/>
      <c r="O3" s="201"/>
    </row>
    <row r="4" spans="2:27" x14ac:dyDescent="0.3">
      <c r="D4" s="61"/>
      <c r="E4" s="61"/>
      <c r="F4" s="186" t="s">
        <v>79</v>
      </c>
      <c r="G4" s="61"/>
      <c r="H4" s="61"/>
      <c r="I4" s="61"/>
      <c r="J4" s="62"/>
      <c r="K4" s="62"/>
      <c r="L4" s="62"/>
      <c r="N4" s="62"/>
    </row>
    <row r="5" spans="2:27" x14ac:dyDescent="0.3">
      <c r="D5" s="61"/>
      <c r="E5" s="61"/>
      <c r="F5" s="187" t="s">
        <v>80</v>
      </c>
      <c r="G5" s="61"/>
      <c r="H5" s="61"/>
      <c r="I5" s="61"/>
      <c r="J5" s="62"/>
      <c r="K5" s="62"/>
      <c r="L5" s="62"/>
      <c r="N5" s="62"/>
    </row>
    <row r="6" spans="2:27" x14ac:dyDescent="0.3">
      <c r="F6" s="188" t="s">
        <v>81</v>
      </c>
      <c r="G6" s="188"/>
      <c r="H6" s="188"/>
      <c r="I6" s="188"/>
      <c r="J6" s="188"/>
      <c r="K6" s="188"/>
      <c r="L6" s="188"/>
      <c r="M6" s="188"/>
      <c r="N6" s="188"/>
      <c r="O6" s="188"/>
    </row>
    <row r="7" spans="2:27" ht="15" thickBot="1" x14ac:dyDescent="0.35"/>
    <row r="8" spans="2:27" ht="15" thickBot="1" x14ac:dyDescent="0.35">
      <c r="C8" s="7" t="s">
        <v>7</v>
      </c>
      <c r="D8" s="6" t="s">
        <v>8</v>
      </c>
      <c r="E8" s="63">
        <v>1</v>
      </c>
    </row>
    <row r="9" spans="2:27" ht="18.600000000000001" thickBot="1" x14ac:dyDescent="0.4">
      <c r="C9" s="7" t="s">
        <v>2</v>
      </c>
      <c r="D9" s="6" t="s">
        <v>9</v>
      </c>
      <c r="E9" s="128">
        <v>2</v>
      </c>
      <c r="O9" s="1"/>
      <c r="P9" s="32" t="s">
        <v>23</v>
      </c>
      <c r="Q9" s="68">
        <v>5</v>
      </c>
      <c r="R9" s="21" t="s">
        <v>24</v>
      </c>
      <c r="S9" s="20"/>
      <c r="T9" s="22"/>
      <c r="U9" s="1"/>
      <c r="V9" s="1"/>
      <c r="W9" s="1"/>
      <c r="X9" s="1"/>
      <c r="Y9" s="1"/>
      <c r="Z9" s="1"/>
      <c r="AA9" s="1"/>
    </row>
    <row r="10" spans="2:27" ht="15" thickBot="1" x14ac:dyDescent="0.35">
      <c r="C10" s="7" t="s">
        <v>163</v>
      </c>
      <c r="D10" s="6" t="s">
        <v>125</v>
      </c>
      <c r="E10" s="64">
        <v>0</v>
      </c>
      <c r="O10" s="1"/>
      <c r="P10" s="1"/>
      <c r="Q10" s="1"/>
      <c r="R10" s="1"/>
      <c r="S10" s="1"/>
      <c r="T10" s="1"/>
      <c r="U10" s="1"/>
      <c r="V10" s="1"/>
      <c r="W10" s="1"/>
      <c r="X10" s="1"/>
      <c r="Y10" s="1"/>
      <c r="Z10" s="1"/>
      <c r="AA10" s="1"/>
    </row>
    <row r="11" spans="2:27" ht="15" thickBot="1" x14ac:dyDescent="0.35">
      <c r="O11" s="15" t="s">
        <v>22</v>
      </c>
      <c r="P11" s="170" t="s">
        <v>17</v>
      </c>
      <c r="Q11" s="171"/>
      <c r="R11" s="171"/>
      <c r="S11" s="171"/>
      <c r="T11" s="172"/>
      <c r="U11" s="1"/>
      <c r="V11" s="1"/>
      <c r="W11" s="1"/>
      <c r="X11" s="1"/>
      <c r="Y11" s="1"/>
      <c r="Z11" s="1"/>
      <c r="AA11" s="1"/>
    </row>
    <row r="12" spans="2:27" ht="15" thickBot="1" x14ac:dyDescent="0.35">
      <c r="C12" s="65">
        <v>2</v>
      </c>
      <c r="D12" s="66">
        <v>5</v>
      </c>
      <c r="E12" s="66">
        <v>10</v>
      </c>
      <c r="F12" s="67">
        <v>20</v>
      </c>
      <c r="O12" s="17" t="s">
        <v>3</v>
      </c>
      <c r="P12" s="69">
        <v>15</v>
      </c>
      <c r="Q12" s="70">
        <v>20</v>
      </c>
      <c r="R12" s="70">
        <v>25</v>
      </c>
      <c r="S12" s="70">
        <v>30</v>
      </c>
      <c r="T12" s="71">
        <v>40</v>
      </c>
      <c r="U12" s="1"/>
      <c r="V12" s="1"/>
      <c r="W12" s="1"/>
      <c r="X12" s="1"/>
      <c r="Y12" s="1"/>
      <c r="Z12" s="1"/>
      <c r="AA12" s="1"/>
    </row>
    <row r="13" spans="2:27" ht="15" thickBot="1" x14ac:dyDescent="0.35">
      <c r="C13" s="8" t="s">
        <v>10</v>
      </c>
      <c r="O13" s="15" t="s">
        <v>16</v>
      </c>
      <c r="P13" s="18" t="s">
        <v>18</v>
      </c>
      <c r="Q13" s="18" t="s">
        <v>14</v>
      </c>
      <c r="R13" s="18" t="s">
        <v>19</v>
      </c>
      <c r="S13" s="18" t="s">
        <v>20</v>
      </c>
      <c r="T13" s="19" t="s">
        <v>21</v>
      </c>
      <c r="U13" s="1"/>
      <c r="V13" s="1"/>
      <c r="W13" s="1"/>
      <c r="X13" s="1"/>
      <c r="Y13" s="1"/>
      <c r="Z13" s="1"/>
      <c r="AA13" s="1"/>
    </row>
    <row r="14" spans="2:27" x14ac:dyDescent="0.3">
      <c r="B14" s="15" t="s">
        <v>15</v>
      </c>
      <c r="C14" s="129" t="s">
        <v>11</v>
      </c>
      <c r="D14" s="9" t="s">
        <v>12</v>
      </c>
      <c r="E14" s="9" t="s">
        <v>13</v>
      </c>
      <c r="F14" s="10" t="s">
        <v>14</v>
      </c>
      <c r="O14" s="16">
        <v>5</v>
      </c>
      <c r="P14" s="23">
        <f t="shared" ref="P14:T23" si="0">((PI()*P$12*10^6)*($O14/100)^3)/(32*$Q$9)/9.8/1000</f>
        <v>3.7566876438015705E-3</v>
      </c>
      <c r="Q14" s="24">
        <f t="shared" si="0"/>
        <v>5.0089168584020946E-3</v>
      </c>
      <c r="R14" s="24">
        <f t="shared" si="0"/>
        <v>6.2611460730026183E-3</v>
      </c>
      <c r="S14" s="24">
        <f t="shared" si="0"/>
        <v>7.513375287603141E-3</v>
      </c>
      <c r="T14" s="25">
        <f t="shared" si="0"/>
        <v>1.0017833716804189E-2</v>
      </c>
      <c r="U14" s="1"/>
      <c r="V14" s="1"/>
      <c r="W14" s="1"/>
      <c r="X14" s="1"/>
      <c r="Y14" s="1"/>
      <c r="Z14" s="1"/>
      <c r="AA14" s="1"/>
    </row>
    <row r="15" spans="2:27" x14ac:dyDescent="0.3">
      <c r="B15" s="16">
        <v>0</v>
      </c>
      <c r="C15" s="130">
        <f t="shared" ref="C15:F39" si="1">IF($B15&gt;$E$9,#N/A,(($E$8*(C$12/100)/$E$9)*$B15)+$E$8/100*$E$10)</f>
        <v>0</v>
      </c>
      <c r="D15" s="11">
        <f t="shared" si="1"/>
        <v>0</v>
      </c>
      <c r="E15" s="11">
        <f t="shared" si="1"/>
        <v>0</v>
      </c>
      <c r="F15" s="12">
        <f>IF($B15&gt;$E$9,#N/A,(($E$8*(F$12/100)/$E$9)*$B15)+$E$8/100*$E$10)</f>
        <v>0</v>
      </c>
      <c r="O15" s="16">
        <v>10</v>
      </c>
      <c r="P15" s="26">
        <f t="shared" si="0"/>
        <v>3.0053501150412564E-2</v>
      </c>
      <c r="Q15" s="27">
        <f t="shared" si="0"/>
        <v>4.0071334867216757E-2</v>
      </c>
      <c r="R15" s="27">
        <f t="shared" si="0"/>
        <v>5.0089168584020946E-2</v>
      </c>
      <c r="S15" s="27">
        <f t="shared" si="0"/>
        <v>6.0107002300825128E-2</v>
      </c>
      <c r="T15" s="28">
        <f t="shared" si="0"/>
        <v>8.0142669734433514E-2</v>
      </c>
      <c r="U15" s="1"/>
      <c r="V15" s="1"/>
      <c r="W15" s="1"/>
      <c r="X15" s="1"/>
      <c r="Y15" s="1"/>
      <c r="Z15" s="1"/>
      <c r="AA15" s="1"/>
    </row>
    <row r="16" spans="2:27" x14ac:dyDescent="0.3">
      <c r="B16" s="16">
        <v>0.25</v>
      </c>
      <c r="C16" s="130">
        <f t="shared" si="1"/>
        <v>2.5000000000000001E-3</v>
      </c>
      <c r="D16" s="11">
        <f t="shared" si="1"/>
        <v>6.2500000000000003E-3</v>
      </c>
      <c r="E16" s="11">
        <f t="shared" si="1"/>
        <v>1.2500000000000001E-2</v>
      </c>
      <c r="F16" s="12">
        <f t="shared" si="1"/>
        <v>2.5000000000000001E-2</v>
      </c>
      <c r="O16" s="16">
        <v>15</v>
      </c>
      <c r="P16" s="26">
        <f t="shared" si="0"/>
        <v>0.10143056638264238</v>
      </c>
      <c r="Q16" s="27">
        <f t="shared" si="0"/>
        <v>0.13524075517685652</v>
      </c>
      <c r="R16" s="27">
        <f t="shared" si="0"/>
        <v>0.16905094397107068</v>
      </c>
      <c r="S16" s="27">
        <f t="shared" si="0"/>
        <v>0.20286113276528475</v>
      </c>
      <c r="T16" s="28">
        <f t="shared" si="0"/>
        <v>0.27048151035371304</v>
      </c>
      <c r="U16" s="1"/>
      <c r="V16" s="1"/>
      <c r="W16" s="1"/>
      <c r="X16" s="1"/>
      <c r="Y16" s="1"/>
      <c r="Z16" s="1"/>
      <c r="AA16" s="1"/>
    </row>
    <row r="17" spans="2:27" x14ac:dyDescent="0.3">
      <c r="B17" s="16">
        <v>0.5</v>
      </c>
      <c r="C17" s="130">
        <f t="shared" si="1"/>
        <v>5.0000000000000001E-3</v>
      </c>
      <c r="D17" s="11">
        <f>IF($B17&gt;$E$9,#N/A,(($E$8*(D$12/100)/$E$9)*$B17)+$E$8/100*$E$10)</f>
        <v>1.2500000000000001E-2</v>
      </c>
      <c r="E17" s="11">
        <f t="shared" si="1"/>
        <v>2.5000000000000001E-2</v>
      </c>
      <c r="F17" s="12">
        <f t="shared" si="1"/>
        <v>0.05</v>
      </c>
      <c r="O17" s="16">
        <v>20</v>
      </c>
      <c r="P17" s="26">
        <f t="shared" si="0"/>
        <v>0.24042800920330051</v>
      </c>
      <c r="Q17" s="27">
        <f t="shared" si="0"/>
        <v>0.32057067893773405</v>
      </c>
      <c r="R17" s="27">
        <f t="shared" si="0"/>
        <v>0.40071334867216757</v>
      </c>
      <c r="S17" s="27">
        <f t="shared" si="0"/>
        <v>0.48085601840660103</v>
      </c>
      <c r="T17" s="28">
        <f t="shared" si="0"/>
        <v>0.64114135787546811</v>
      </c>
      <c r="U17" s="1"/>
      <c r="V17" s="1"/>
      <c r="W17" s="1"/>
      <c r="X17" s="1"/>
      <c r="Y17" s="1"/>
      <c r="Z17" s="1"/>
      <c r="AA17" s="1"/>
    </row>
    <row r="18" spans="2:27" x14ac:dyDescent="0.3">
      <c r="B18" s="16">
        <v>0.75</v>
      </c>
      <c r="C18" s="130">
        <f t="shared" si="1"/>
        <v>7.4999999999999997E-3</v>
      </c>
      <c r="D18" s="11">
        <f t="shared" si="1"/>
        <v>1.8750000000000003E-2</v>
      </c>
      <c r="E18" s="11">
        <f t="shared" si="1"/>
        <v>3.7500000000000006E-2</v>
      </c>
      <c r="F18" s="12">
        <f t="shared" si="1"/>
        <v>7.5000000000000011E-2</v>
      </c>
      <c r="O18" s="16">
        <v>25</v>
      </c>
      <c r="P18" s="26">
        <f t="shared" si="0"/>
        <v>0.46958595547519627</v>
      </c>
      <c r="Q18" s="27">
        <f t="shared" si="0"/>
        <v>0.62611460730026169</v>
      </c>
      <c r="R18" s="27">
        <f t="shared" si="0"/>
        <v>0.78264325912532706</v>
      </c>
      <c r="S18" s="27">
        <f t="shared" si="0"/>
        <v>0.93917191095039254</v>
      </c>
      <c r="T18" s="28">
        <f t="shared" si="0"/>
        <v>1.2522292146005234</v>
      </c>
      <c r="U18" s="1"/>
      <c r="V18" s="1"/>
      <c r="W18" s="1"/>
      <c r="X18" s="1"/>
      <c r="Y18" s="1"/>
      <c r="Z18" s="1"/>
      <c r="AA18" s="1"/>
    </row>
    <row r="19" spans="2:27" x14ac:dyDescent="0.3">
      <c r="B19" s="16">
        <v>1</v>
      </c>
      <c r="C19" s="130">
        <f t="shared" si="1"/>
        <v>0.01</v>
      </c>
      <c r="D19" s="11">
        <f t="shared" si="1"/>
        <v>2.5000000000000001E-2</v>
      </c>
      <c r="E19" s="11">
        <f t="shared" si="1"/>
        <v>0.05</v>
      </c>
      <c r="F19" s="12">
        <f t="shared" si="1"/>
        <v>0.1</v>
      </c>
      <c r="O19" s="16">
        <v>30</v>
      </c>
      <c r="P19" s="26">
        <f t="shared" si="0"/>
        <v>0.81144453106113901</v>
      </c>
      <c r="Q19" s="27">
        <f t="shared" si="0"/>
        <v>1.0819260414148522</v>
      </c>
      <c r="R19" s="27">
        <f t="shared" si="0"/>
        <v>1.3524075517685654</v>
      </c>
      <c r="S19" s="27">
        <f t="shared" si="0"/>
        <v>1.622889062122278</v>
      </c>
      <c r="T19" s="28">
        <f t="shared" si="0"/>
        <v>2.1638520828297043</v>
      </c>
      <c r="U19" s="1"/>
      <c r="V19" s="1"/>
      <c r="W19" s="1"/>
      <c r="X19" s="1"/>
      <c r="Y19" s="1"/>
      <c r="Z19" s="1"/>
      <c r="AA19" s="1"/>
    </row>
    <row r="20" spans="2:27" x14ac:dyDescent="0.3">
      <c r="B20" s="16">
        <v>1.25</v>
      </c>
      <c r="C20" s="130">
        <f t="shared" si="1"/>
        <v>1.2500000000000001E-2</v>
      </c>
      <c r="D20" s="11">
        <f t="shared" si="1"/>
        <v>3.125E-2</v>
      </c>
      <c r="E20" s="11">
        <f t="shared" si="1"/>
        <v>6.25E-2</v>
      </c>
      <c r="F20" s="12">
        <f t="shared" si="1"/>
        <v>0.125</v>
      </c>
      <c r="O20" s="16">
        <v>35</v>
      </c>
      <c r="P20" s="26">
        <f t="shared" si="0"/>
        <v>1.2885438618239382</v>
      </c>
      <c r="Q20" s="27">
        <f t="shared" si="0"/>
        <v>1.7180584824319176</v>
      </c>
      <c r="R20" s="27">
        <f t="shared" si="0"/>
        <v>2.147573103039897</v>
      </c>
      <c r="S20" s="27">
        <f t="shared" si="0"/>
        <v>2.5770877236478764</v>
      </c>
      <c r="T20" s="28">
        <f t="shared" si="0"/>
        <v>3.4361169648638352</v>
      </c>
      <c r="U20" s="1"/>
      <c r="V20" s="1"/>
      <c r="W20" s="1"/>
      <c r="X20" s="1"/>
      <c r="Y20" s="1"/>
      <c r="Z20" s="1"/>
      <c r="AA20" s="1"/>
    </row>
    <row r="21" spans="2:27" x14ac:dyDescent="0.3">
      <c r="B21" s="16">
        <v>1.5</v>
      </c>
      <c r="C21" s="130">
        <f t="shared" si="1"/>
        <v>1.4999999999999999E-2</v>
      </c>
      <c r="D21" s="11">
        <f t="shared" si="1"/>
        <v>3.7500000000000006E-2</v>
      </c>
      <c r="E21" s="11">
        <f t="shared" si="1"/>
        <v>7.5000000000000011E-2</v>
      </c>
      <c r="F21" s="12">
        <f t="shared" si="1"/>
        <v>0.15000000000000002</v>
      </c>
      <c r="O21" s="16">
        <v>40</v>
      </c>
      <c r="P21" s="26">
        <f t="shared" si="0"/>
        <v>1.9234240736264041</v>
      </c>
      <c r="Q21" s="27">
        <f t="shared" si="0"/>
        <v>2.5645654315018724</v>
      </c>
      <c r="R21" s="27">
        <f t="shared" si="0"/>
        <v>3.2057067893773405</v>
      </c>
      <c r="S21" s="27">
        <f t="shared" si="0"/>
        <v>3.8468481472528082</v>
      </c>
      <c r="T21" s="28">
        <f t="shared" si="0"/>
        <v>5.1291308630037449</v>
      </c>
      <c r="U21" s="1"/>
      <c r="V21" s="1"/>
      <c r="W21" s="1"/>
      <c r="X21" s="1"/>
      <c r="Y21" s="1"/>
      <c r="Z21" s="1"/>
      <c r="AA21" s="1"/>
    </row>
    <row r="22" spans="2:27" x14ac:dyDescent="0.3">
      <c r="B22" s="16">
        <v>1.75</v>
      </c>
      <c r="C22" s="130">
        <f t="shared" si="1"/>
        <v>1.7500000000000002E-2</v>
      </c>
      <c r="D22" s="11">
        <f t="shared" si="1"/>
        <v>4.3750000000000004E-2</v>
      </c>
      <c r="E22" s="11">
        <f t="shared" si="1"/>
        <v>8.7500000000000008E-2</v>
      </c>
      <c r="F22" s="12">
        <f t="shared" si="1"/>
        <v>0.17500000000000002</v>
      </c>
      <c r="O22" s="16">
        <v>45</v>
      </c>
      <c r="P22" s="26">
        <f t="shared" si="0"/>
        <v>2.7386252923313448</v>
      </c>
      <c r="Q22" s="27">
        <f t="shared" si="0"/>
        <v>3.6515003897751273</v>
      </c>
      <c r="R22" s="27">
        <f t="shared" si="0"/>
        <v>4.564375487218908</v>
      </c>
      <c r="S22" s="27">
        <f t="shared" si="0"/>
        <v>5.4772505846626895</v>
      </c>
      <c r="T22" s="28">
        <f t="shared" si="0"/>
        <v>7.3030007795502545</v>
      </c>
      <c r="U22" s="1"/>
      <c r="V22" s="1"/>
      <c r="W22" s="1"/>
      <c r="X22" s="1"/>
      <c r="Y22" s="1"/>
      <c r="Z22" s="1"/>
      <c r="AA22" s="1"/>
    </row>
    <row r="23" spans="2:27" x14ac:dyDescent="0.3">
      <c r="B23" s="16">
        <v>2</v>
      </c>
      <c r="C23" s="130">
        <f t="shared" si="1"/>
        <v>0.02</v>
      </c>
      <c r="D23" s="11">
        <f t="shared" si="1"/>
        <v>0.05</v>
      </c>
      <c r="E23" s="11">
        <f t="shared" si="1"/>
        <v>0.1</v>
      </c>
      <c r="F23" s="12">
        <f t="shared" si="1"/>
        <v>0.2</v>
      </c>
      <c r="O23" s="16">
        <v>50</v>
      </c>
      <c r="P23" s="26">
        <f t="shared" si="0"/>
        <v>3.7566876438015702</v>
      </c>
      <c r="Q23" s="27">
        <f t="shared" si="0"/>
        <v>5.0089168584020936</v>
      </c>
      <c r="R23" s="27">
        <f t="shared" si="0"/>
        <v>6.2611460730026165</v>
      </c>
      <c r="S23" s="27">
        <f t="shared" si="0"/>
        <v>7.5133752876031403</v>
      </c>
      <c r="T23" s="28">
        <f t="shared" si="0"/>
        <v>10.017833716804187</v>
      </c>
      <c r="U23" s="1"/>
      <c r="V23" s="1"/>
      <c r="W23" s="1"/>
      <c r="X23" s="1"/>
      <c r="Y23" s="1"/>
      <c r="Z23" s="1"/>
      <c r="AA23" s="1"/>
    </row>
    <row r="24" spans="2:27" x14ac:dyDescent="0.3">
      <c r="B24" s="16">
        <v>2.25</v>
      </c>
      <c r="C24" s="130" t="e">
        <f t="shared" si="1"/>
        <v>#N/A</v>
      </c>
      <c r="D24" s="11" t="e">
        <f t="shared" si="1"/>
        <v>#N/A</v>
      </c>
      <c r="E24" s="11" t="e">
        <f t="shared" si="1"/>
        <v>#N/A</v>
      </c>
      <c r="F24" s="12" t="e">
        <f t="shared" si="1"/>
        <v>#N/A</v>
      </c>
      <c r="O24" s="16">
        <v>55</v>
      </c>
      <c r="P24" s="26">
        <f t="shared" ref="P24:T33" si="2">((PI()*P$12*10^6)*($O24/100)^3)/(32*$Q$9)/9.8/1000</f>
        <v>5.0001512538998902</v>
      </c>
      <c r="Q24" s="27">
        <f t="shared" si="2"/>
        <v>6.6668683385331882</v>
      </c>
      <c r="R24" s="27">
        <f t="shared" si="2"/>
        <v>8.3335854231664879</v>
      </c>
      <c r="S24" s="27">
        <f t="shared" si="2"/>
        <v>10.00030250779978</v>
      </c>
      <c r="T24" s="28">
        <f t="shared" si="2"/>
        <v>13.333736677066376</v>
      </c>
      <c r="U24" s="1"/>
      <c r="V24" s="1"/>
      <c r="W24" s="1"/>
      <c r="X24" s="1"/>
      <c r="Y24" s="1"/>
      <c r="Z24" s="1"/>
      <c r="AA24" s="1"/>
    </row>
    <row r="25" spans="2:27" x14ac:dyDescent="0.3">
      <c r="B25" s="16">
        <v>2.5</v>
      </c>
      <c r="C25" s="130" t="e">
        <f t="shared" si="1"/>
        <v>#N/A</v>
      </c>
      <c r="D25" s="11" t="e">
        <f t="shared" si="1"/>
        <v>#N/A</v>
      </c>
      <c r="E25" s="11" t="e">
        <f t="shared" si="1"/>
        <v>#N/A</v>
      </c>
      <c r="F25" s="12" t="e">
        <f t="shared" si="1"/>
        <v>#N/A</v>
      </c>
      <c r="O25" s="16">
        <v>60</v>
      </c>
      <c r="P25" s="26">
        <f t="shared" si="2"/>
        <v>6.4915562484891121</v>
      </c>
      <c r="Q25" s="27">
        <f t="shared" si="2"/>
        <v>8.6554083313188173</v>
      </c>
      <c r="R25" s="27">
        <f t="shared" si="2"/>
        <v>10.819260414148523</v>
      </c>
      <c r="S25" s="27">
        <f t="shared" si="2"/>
        <v>12.983112496978224</v>
      </c>
      <c r="T25" s="28">
        <f t="shared" si="2"/>
        <v>17.310816662637635</v>
      </c>
      <c r="U25" s="1"/>
      <c r="V25" s="1"/>
      <c r="W25" s="1"/>
      <c r="X25" s="1"/>
      <c r="Y25" s="1"/>
      <c r="Z25" s="1"/>
      <c r="AA25" s="1"/>
    </row>
    <row r="26" spans="2:27" x14ac:dyDescent="0.3">
      <c r="B26" s="16">
        <v>2.75</v>
      </c>
      <c r="C26" s="130" t="e">
        <f t="shared" si="1"/>
        <v>#N/A</v>
      </c>
      <c r="D26" s="11" t="e">
        <f t="shared" si="1"/>
        <v>#N/A</v>
      </c>
      <c r="E26" s="11" t="e">
        <f t="shared" si="1"/>
        <v>#N/A</v>
      </c>
      <c r="F26" s="12" t="e">
        <f t="shared" si="1"/>
        <v>#N/A</v>
      </c>
      <c r="O26" s="16">
        <v>65</v>
      </c>
      <c r="P26" s="26">
        <f t="shared" si="2"/>
        <v>8.2534427534320507</v>
      </c>
      <c r="Q26" s="27">
        <f t="shared" si="2"/>
        <v>11.004590337909402</v>
      </c>
      <c r="R26" s="27">
        <f t="shared" si="2"/>
        <v>13.755737922386752</v>
      </c>
      <c r="S26" s="27">
        <f t="shared" si="2"/>
        <v>16.506885506864101</v>
      </c>
      <c r="T26" s="28">
        <f t="shared" si="2"/>
        <v>22.009180675818804</v>
      </c>
      <c r="U26" s="1"/>
      <c r="V26" s="1"/>
      <c r="W26" s="1"/>
      <c r="X26" s="1"/>
      <c r="Y26" s="1"/>
      <c r="Z26" s="1"/>
      <c r="AA26" s="1"/>
    </row>
    <row r="27" spans="2:27" x14ac:dyDescent="0.3">
      <c r="B27" s="16">
        <v>3</v>
      </c>
      <c r="C27" s="130" t="e">
        <f t="shared" si="1"/>
        <v>#N/A</v>
      </c>
      <c r="D27" s="11" t="e">
        <f t="shared" si="1"/>
        <v>#N/A</v>
      </c>
      <c r="E27" s="11" t="e">
        <f t="shared" si="1"/>
        <v>#N/A</v>
      </c>
      <c r="F27" s="12" t="e">
        <f t="shared" si="1"/>
        <v>#N/A</v>
      </c>
      <c r="O27" s="16">
        <v>70</v>
      </c>
      <c r="P27" s="26">
        <f t="shared" si="2"/>
        <v>10.308350894591506</v>
      </c>
      <c r="Q27" s="27">
        <f t="shared" si="2"/>
        <v>13.744467859455341</v>
      </c>
      <c r="R27" s="27">
        <f t="shared" si="2"/>
        <v>17.180584824319176</v>
      </c>
      <c r="S27" s="27">
        <f t="shared" si="2"/>
        <v>20.616701789183011</v>
      </c>
      <c r="T27" s="28">
        <f t="shared" si="2"/>
        <v>27.488935718910682</v>
      </c>
      <c r="U27" s="1"/>
      <c r="V27" s="1"/>
      <c r="W27" s="1"/>
      <c r="X27" s="1"/>
      <c r="Y27" s="1"/>
      <c r="Z27" s="1"/>
      <c r="AA27" s="1"/>
    </row>
    <row r="28" spans="2:27" x14ac:dyDescent="0.3">
      <c r="B28" s="16">
        <v>3.25</v>
      </c>
      <c r="C28" s="130" t="e">
        <f t="shared" si="1"/>
        <v>#N/A</v>
      </c>
      <c r="D28" s="11" t="e">
        <f t="shared" si="1"/>
        <v>#N/A</v>
      </c>
      <c r="E28" s="11" t="e">
        <f t="shared" si="1"/>
        <v>#N/A</v>
      </c>
      <c r="F28" s="12" t="e">
        <f t="shared" si="1"/>
        <v>#N/A</v>
      </c>
      <c r="O28" s="16">
        <v>75</v>
      </c>
      <c r="P28" s="26">
        <f t="shared" si="2"/>
        <v>12.678820797830298</v>
      </c>
      <c r="Q28" s="27">
        <f t="shared" si="2"/>
        <v>16.905094397107067</v>
      </c>
      <c r="R28" s="27">
        <f t="shared" si="2"/>
        <v>21.131367996383833</v>
      </c>
      <c r="S28" s="27">
        <f t="shared" si="2"/>
        <v>25.357641595660596</v>
      </c>
      <c r="T28" s="28">
        <f t="shared" si="2"/>
        <v>33.810188794214135</v>
      </c>
      <c r="U28" s="1"/>
      <c r="V28" s="1"/>
      <c r="W28" s="1"/>
      <c r="X28" s="1"/>
      <c r="Y28" s="1"/>
      <c r="Z28" s="1"/>
      <c r="AA28" s="1"/>
    </row>
    <row r="29" spans="2:27" x14ac:dyDescent="0.3">
      <c r="B29" s="16">
        <v>3.5</v>
      </c>
      <c r="C29" s="130" t="e">
        <f t="shared" si="1"/>
        <v>#N/A</v>
      </c>
      <c r="D29" s="11" t="e">
        <f t="shared" si="1"/>
        <v>#N/A</v>
      </c>
      <c r="E29" s="11" t="e">
        <f t="shared" si="1"/>
        <v>#N/A</v>
      </c>
      <c r="F29" s="12" t="e">
        <f t="shared" si="1"/>
        <v>#N/A</v>
      </c>
      <c r="O29" s="16">
        <v>80</v>
      </c>
      <c r="P29" s="26">
        <f t="shared" si="2"/>
        <v>15.387392589011233</v>
      </c>
      <c r="Q29" s="27">
        <f t="shared" si="2"/>
        <v>20.51652345201498</v>
      </c>
      <c r="R29" s="27">
        <f t="shared" si="2"/>
        <v>25.645654315018724</v>
      </c>
      <c r="S29" s="27">
        <f t="shared" si="2"/>
        <v>30.774785178022466</v>
      </c>
      <c r="T29" s="28">
        <f t="shared" si="2"/>
        <v>41.033046904029959</v>
      </c>
      <c r="U29" s="1"/>
      <c r="V29" s="1"/>
      <c r="W29" s="1"/>
      <c r="X29" s="1"/>
      <c r="Y29" s="1"/>
      <c r="Z29" s="1"/>
      <c r="AA29" s="1"/>
    </row>
    <row r="30" spans="2:27" x14ac:dyDescent="0.3">
      <c r="B30" s="16">
        <v>3.75</v>
      </c>
      <c r="C30" s="130" t="e">
        <f t="shared" si="1"/>
        <v>#N/A</v>
      </c>
      <c r="D30" s="11" t="e">
        <f t="shared" si="1"/>
        <v>#N/A</v>
      </c>
      <c r="E30" s="11" t="e">
        <f t="shared" si="1"/>
        <v>#N/A</v>
      </c>
      <c r="F30" s="12" t="e">
        <f t="shared" si="1"/>
        <v>#N/A</v>
      </c>
      <c r="O30" s="16">
        <v>85</v>
      </c>
      <c r="P30" s="26">
        <f t="shared" si="2"/>
        <v>18.456606393997109</v>
      </c>
      <c r="Q30" s="27">
        <f t="shared" si="2"/>
        <v>24.608808525329483</v>
      </c>
      <c r="R30" s="27">
        <f t="shared" si="2"/>
        <v>30.761010656661853</v>
      </c>
      <c r="S30" s="27">
        <f t="shared" si="2"/>
        <v>36.913212787994219</v>
      </c>
      <c r="T30" s="28">
        <f t="shared" si="2"/>
        <v>49.217617050658966</v>
      </c>
      <c r="U30" s="1"/>
      <c r="V30" s="1"/>
      <c r="W30" s="1"/>
      <c r="X30" s="1"/>
      <c r="Y30" s="1"/>
      <c r="Z30" s="1"/>
      <c r="AA30" s="1"/>
    </row>
    <row r="31" spans="2:27" x14ac:dyDescent="0.3">
      <c r="B31" s="16">
        <v>4</v>
      </c>
      <c r="C31" s="130" t="e">
        <f t="shared" si="1"/>
        <v>#N/A</v>
      </c>
      <c r="D31" s="11" t="e">
        <f t="shared" si="1"/>
        <v>#N/A</v>
      </c>
      <c r="E31" s="11" t="e">
        <f t="shared" si="1"/>
        <v>#N/A</v>
      </c>
      <c r="F31" s="12" t="e">
        <f t="shared" si="1"/>
        <v>#N/A</v>
      </c>
      <c r="O31" s="16">
        <v>90</v>
      </c>
      <c r="P31" s="26">
        <f t="shared" si="2"/>
        <v>21.909002338650758</v>
      </c>
      <c r="Q31" s="27">
        <f t="shared" si="2"/>
        <v>29.212003118201018</v>
      </c>
      <c r="R31" s="27">
        <f t="shared" si="2"/>
        <v>36.515003897751264</v>
      </c>
      <c r="S31" s="27">
        <f t="shared" si="2"/>
        <v>43.818004677301516</v>
      </c>
      <c r="T31" s="28">
        <f t="shared" si="2"/>
        <v>58.424006236402036</v>
      </c>
      <c r="U31" s="1"/>
      <c r="V31" s="1"/>
      <c r="W31" s="1"/>
      <c r="X31" s="1"/>
      <c r="Y31" s="1"/>
      <c r="Z31" s="1"/>
      <c r="AA31" s="1"/>
    </row>
    <row r="32" spans="2:27" x14ac:dyDescent="0.3">
      <c r="B32" s="16">
        <v>4.25</v>
      </c>
      <c r="C32" s="130" t="e">
        <f t="shared" si="1"/>
        <v>#N/A</v>
      </c>
      <c r="D32" s="11" t="e">
        <f t="shared" si="1"/>
        <v>#N/A</v>
      </c>
      <c r="E32" s="11" t="e">
        <f t="shared" si="1"/>
        <v>#N/A</v>
      </c>
      <c r="F32" s="12" t="e">
        <f t="shared" si="1"/>
        <v>#N/A</v>
      </c>
      <c r="O32" s="16">
        <v>95</v>
      </c>
      <c r="P32" s="26">
        <f t="shared" si="2"/>
        <v>25.767120548834967</v>
      </c>
      <c r="Q32" s="27">
        <f t="shared" si="2"/>
        <v>34.356160731779951</v>
      </c>
      <c r="R32" s="27">
        <f t="shared" si="2"/>
        <v>42.945200914724943</v>
      </c>
      <c r="S32" s="27">
        <f t="shared" si="2"/>
        <v>51.534241097669934</v>
      </c>
      <c r="T32" s="28">
        <f t="shared" si="2"/>
        <v>68.712321463559903</v>
      </c>
      <c r="U32" s="1"/>
      <c r="V32" s="1"/>
      <c r="W32" s="1"/>
      <c r="X32" s="1"/>
      <c r="Y32" s="1"/>
      <c r="Z32" s="1"/>
      <c r="AA32" s="1"/>
    </row>
    <row r="33" spans="2:27" ht="15" thickBot="1" x14ac:dyDescent="0.35">
      <c r="B33" s="16">
        <v>4.5</v>
      </c>
      <c r="C33" s="130" t="e">
        <f t="shared" si="1"/>
        <v>#N/A</v>
      </c>
      <c r="D33" s="11" t="e">
        <f t="shared" si="1"/>
        <v>#N/A</v>
      </c>
      <c r="E33" s="11" t="e">
        <f t="shared" si="1"/>
        <v>#N/A</v>
      </c>
      <c r="F33" s="12" t="e">
        <f t="shared" si="1"/>
        <v>#N/A</v>
      </c>
      <c r="O33" s="17">
        <v>100</v>
      </c>
      <c r="P33" s="29">
        <f t="shared" si="2"/>
        <v>30.053501150412561</v>
      </c>
      <c r="Q33" s="30">
        <f t="shared" si="2"/>
        <v>40.071334867216748</v>
      </c>
      <c r="R33" s="30">
        <f t="shared" si="2"/>
        <v>50.089168584020932</v>
      </c>
      <c r="S33" s="30">
        <f t="shared" si="2"/>
        <v>60.107002300825123</v>
      </c>
      <c r="T33" s="31">
        <f t="shared" si="2"/>
        <v>80.142669734433497</v>
      </c>
      <c r="U33" s="1"/>
      <c r="V33" s="1"/>
      <c r="W33" s="1"/>
      <c r="X33" s="1"/>
      <c r="Y33" s="1"/>
      <c r="Z33" s="1"/>
      <c r="AA33" s="1"/>
    </row>
    <row r="34" spans="2:27" x14ac:dyDescent="0.3">
      <c r="B34" s="16">
        <v>4.75</v>
      </c>
      <c r="C34" s="130" t="e">
        <f t="shared" si="1"/>
        <v>#N/A</v>
      </c>
      <c r="D34" s="11" t="e">
        <f t="shared" si="1"/>
        <v>#N/A</v>
      </c>
      <c r="E34" s="11" t="e">
        <f t="shared" si="1"/>
        <v>#N/A</v>
      </c>
      <c r="F34" s="12" t="e">
        <f t="shared" si="1"/>
        <v>#N/A</v>
      </c>
    </row>
    <row r="35" spans="2:27" x14ac:dyDescent="0.3">
      <c r="B35" s="16">
        <v>5</v>
      </c>
      <c r="C35" s="130" t="e">
        <f t="shared" si="1"/>
        <v>#N/A</v>
      </c>
      <c r="D35" s="11" t="e">
        <f t="shared" si="1"/>
        <v>#N/A</v>
      </c>
      <c r="E35" s="11" t="e">
        <f t="shared" si="1"/>
        <v>#N/A</v>
      </c>
      <c r="F35" s="12" t="e">
        <f t="shared" si="1"/>
        <v>#N/A</v>
      </c>
    </row>
    <row r="36" spans="2:27" x14ac:dyDescent="0.3">
      <c r="B36" s="16">
        <v>6</v>
      </c>
      <c r="C36" s="130" t="e">
        <f t="shared" si="1"/>
        <v>#N/A</v>
      </c>
      <c r="D36" s="11" t="e">
        <f t="shared" si="1"/>
        <v>#N/A</v>
      </c>
      <c r="E36" s="11" t="e">
        <f t="shared" si="1"/>
        <v>#N/A</v>
      </c>
      <c r="F36" s="12" t="e">
        <f t="shared" si="1"/>
        <v>#N/A</v>
      </c>
    </row>
    <row r="37" spans="2:27" x14ac:dyDescent="0.3">
      <c r="B37" s="16">
        <v>7</v>
      </c>
      <c r="C37" s="130" t="e">
        <f t="shared" si="1"/>
        <v>#N/A</v>
      </c>
      <c r="D37" s="11" t="e">
        <f t="shared" si="1"/>
        <v>#N/A</v>
      </c>
      <c r="E37" s="11" t="e">
        <f t="shared" si="1"/>
        <v>#N/A</v>
      </c>
      <c r="F37" s="12" t="e">
        <f t="shared" si="1"/>
        <v>#N/A</v>
      </c>
    </row>
    <row r="38" spans="2:27" x14ac:dyDescent="0.3">
      <c r="B38" s="16">
        <v>8</v>
      </c>
      <c r="C38" s="130" t="e">
        <f t="shared" si="1"/>
        <v>#N/A</v>
      </c>
      <c r="D38" s="11" t="e">
        <f t="shared" si="1"/>
        <v>#N/A</v>
      </c>
      <c r="E38" s="11" t="e">
        <f t="shared" si="1"/>
        <v>#N/A</v>
      </c>
      <c r="F38" s="12" t="e">
        <f t="shared" si="1"/>
        <v>#N/A</v>
      </c>
    </row>
    <row r="39" spans="2:27" ht="15" thickBot="1" x14ac:dyDescent="0.35">
      <c r="B39" s="17">
        <v>9</v>
      </c>
      <c r="C39" s="131" t="e">
        <f>IF($B39&gt;$E$9,#N/A,(($E$8*(C$12/100)/$E$9)*$B39)+$E$8/100*$E$10)</f>
        <v>#N/A</v>
      </c>
      <c r="D39" s="13" t="e">
        <f t="shared" si="1"/>
        <v>#N/A</v>
      </c>
      <c r="E39" s="13" t="e">
        <f t="shared" si="1"/>
        <v>#N/A</v>
      </c>
      <c r="F39" s="14" t="e">
        <f t="shared" si="1"/>
        <v>#N/A</v>
      </c>
    </row>
  </sheetData>
  <sheetProtection algorithmName="SHA-512" hashValue="2+5szH67IC0Jst4NJXEjia9pgp7NXpYWSOZYXoYnDZ3JmPnuzP4sc4XM/vRummOYhNRwZlyiSmIU/bkbvFql/g==" saltValue="TYPEiOJEkgikIRKBDyW73g==" spinCount="100000" sheet="1" objects="1" scenarios="1" selectLockedCells="1"/>
  <mergeCells count="4">
    <mergeCell ref="B1:C2"/>
    <mergeCell ref="D1:L1"/>
    <mergeCell ref="D2:L2"/>
    <mergeCell ref="P11:T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J41"/>
  <sheetViews>
    <sheetView workbookViewId="0">
      <selection activeCell="G6" sqref="G6"/>
    </sheetView>
  </sheetViews>
  <sheetFormatPr defaultRowHeight="13.2" x14ac:dyDescent="0.25"/>
  <cols>
    <col min="1" max="1" width="9.109375" style="3"/>
    <col min="2" max="2" width="8" style="3" customWidth="1"/>
    <col min="3" max="10" width="10.44140625" style="3" customWidth="1"/>
    <col min="11" max="257" width="9.109375" style="3"/>
    <col min="258" max="258" width="8" style="3" customWidth="1"/>
    <col min="259" max="266" width="10.44140625" style="3" customWidth="1"/>
    <col min="267" max="513" width="9.109375" style="3"/>
    <col min="514" max="514" width="8" style="3" customWidth="1"/>
    <col min="515" max="522" width="10.44140625" style="3" customWidth="1"/>
    <col min="523" max="769" width="9.109375" style="3"/>
    <col min="770" max="770" width="8" style="3" customWidth="1"/>
    <col min="771" max="778" width="10.44140625" style="3" customWidth="1"/>
    <col min="779" max="1025" width="9.109375" style="3"/>
    <col min="1026" max="1026" width="8" style="3" customWidth="1"/>
    <col min="1027" max="1034" width="10.44140625" style="3" customWidth="1"/>
    <col min="1035" max="1281" width="9.109375" style="3"/>
    <col min="1282" max="1282" width="8" style="3" customWidth="1"/>
    <col min="1283" max="1290" width="10.44140625" style="3" customWidth="1"/>
    <col min="1291" max="1537" width="9.109375" style="3"/>
    <col min="1538" max="1538" width="8" style="3" customWidth="1"/>
    <col min="1539" max="1546" width="10.44140625" style="3" customWidth="1"/>
    <col min="1547" max="1793" width="9.109375" style="3"/>
    <col min="1794" max="1794" width="8" style="3" customWidth="1"/>
    <col min="1795" max="1802" width="10.44140625" style="3" customWidth="1"/>
    <col min="1803" max="2049" width="9.109375" style="3"/>
    <col min="2050" max="2050" width="8" style="3" customWidth="1"/>
    <col min="2051" max="2058" width="10.44140625" style="3" customWidth="1"/>
    <col min="2059" max="2305" width="9.109375" style="3"/>
    <col min="2306" max="2306" width="8" style="3" customWidth="1"/>
    <col min="2307" max="2314" width="10.44140625" style="3" customWidth="1"/>
    <col min="2315" max="2561" width="9.109375" style="3"/>
    <col min="2562" max="2562" width="8" style="3" customWidth="1"/>
    <col min="2563" max="2570" width="10.44140625" style="3" customWidth="1"/>
    <col min="2571" max="2817" width="9.109375" style="3"/>
    <col min="2818" max="2818" width="8" style="3" customWidth="1"/>
    <col min="2819" max="2826" width="10.44140625" style="3" customWidth="1"/>
    <col min="2827" max="3073" width="9.109375" style="3"/>
    <col min="3074" max="3074" width="8" style="3" customWidth="1"/>
    <col min="3075" max="3082" width="10.44140625" style="3" customWidth="1"/>
    <col min="3083" max="3329" width="9.109375" style="3"/>
    <col min="3330" max="3330" width="8" style="3" customWidth="1"/>
    <col min="3331" max="3338" width="10.44140625" style="3" customWidth="1"/>
    <col min="3339" max="3585" width="9.109375" style="3"/>
    <col min="3586" max="3586" width="8" style="3" customWidth="1"/>
    <col min="3587" max="3594" width="10.44140625" style="3" customWidth="1"/>
    <col min="3595" max="3841" width="9.109375" style="3"/>
    <col min="3842" max="3842" width="8" style="3" customWidth="1"/>
    <col min="3843" max="3850" width="10.44140625" style="3" customWidth="1"/>
    <col min="3851" max="4097" width="9.109375" style="3"/>
    <col min="4098" max="4098" width="8" style="3" customWidth="1"/>
    <col min="4099" max="4106" width="10.44140625" style="3" customWidth="1"/>
    <col min="4107" max="4353" width="9.109375" style="3"/>
    <col min="4354" max="4354" width="8" style="3" customWidth="1"/>
    <col min="4355" max="4362" width="10.44140625" style="3" customWidth="1"/>
    <col min="4363" max="4609" width="9.109375" style="3"/>
    <col min="4610" max="4610" width="8" style="3" customWidth="1"/>
    <col min="4611" max="4618" width="10.44140625" style="3" customWidth="1"/>
    <col min="4619" max="4865" width="9.109375" style="3"/>
    <col min="4866" max="4866" width="8" style="3" customWidth="1"/>
    <col min="4867" max="4874" width="10.44140625" style="3" customWidth="1"/>
    <col min="4875" max="5121" width="9.109375" style="3"/>
    <col min="5122" max="5122" width="8" style="3" customWidth="1"/>
    <col min="5123" max="5130" width="10.44140625" style="3" customWidth="1"/>
    <col min="5131" max="5377" width="9.109375" style="3"/>
    <col min="5378" max="5378" width="8" style="3" customWidth="1"/>
    <col min="5379" max="5386" width="10.44140625" style="3" customWidth="1"/>
    <col min="5387" max="5633" width="9.109375" style="3"/>
    <col min="5634" max="5634" width="8" style="3" customWidth="1"/>
    <col min="5635" max="5642" width="10.44140625" style="3" customWidth="1"/>
    <col min="5643" max="5889" width="9.109375" style="3"/>
    <col min="5890" max="5890" width="8" style="3" customWidth="1"/>
    <col min="5891" max="5898" width="10.44140625" style="3" customWidth="1"/>
    <col min="5899" max="6145" width="9.109375" style="3"/>
    <col min="6146" max="6146" width="8" style="3" customWidth="1"/>
    <col min="6147" max="6154" width="10.44140625" style="3" customWidth="1"/>
    <col min="6155" max="6401" width="9.109375" style="3"/>
    <col min="6402" max="6402" width="8" style="3" customWidth="1"/>
    <col min="6403" max="6410" width="10.44140625" style="3" customWidth="1"/>
    <col min="6411" max="6657" width="9.109375" style="3"/>
    <col min="6658" max="6658" width="8" style="3" customWidth="1"/>
    <col min="6659" max="6666" width="10.44140625" style="3" customWidth="1"/>
    <col min="6667" max="6913" width="9.109375" style="3"/>
    <col min="6914" max="6914" width="8" style="3" customWidth="1"/>
    <col min="6915" max="6922" width="10.44140625" style="3" customWidth="1"/>
    <col min="6923" max="7169" width="9.109375" style="3"/>
    <col min="7170" max="7170" width="8" style="3" customWidth="1"/>
    <col min="7171" max="7178" width="10.44140625" style="3" customWidth="1"/>
    <col min="7179" max="7425" width="9.109375" style="3"/>
    <col min="7426" max="7426" width="8" style="3" customWidth="1"/>
    <col min="7427" max="7434" width="10.44140625" style="3" customWidth="1"/>
    <col min="7435" max="7681" width="9.109375" style="3"/>
    <col min="7682" max="7682" width="8" style="3" customWidth="1"/>
    <col min="7683" max="7690" width="10.44140625" style="3" customWidth="1"/>
    <col min="7691" max="7937" width="9.109375" style="3"/>
    <col min="7938" max="7938" width="8" style="3" customWidth="1"/>
    <col min="7939" max="7946" width="10.44140625" style="3" customWidth="1"/>
    <col min="7947" max="8193" width="9.109375" style="3"/>
    <col min="8194" max="8194" width="8" style="3" customWidth="1"/>
    <col min="8195" max="8202" width="10.44140625" style="3" customWidth="1"/>
    <col min="8203" max="8449" width="9.109375" style="3"/>
    <col min="8450" max="8450" width="8" style="3" customWidth="1"/>
    <col min="8451" max="8458" width="10.44140625" style="3" customWidth="1"/>
    <col min="8459" max="8705" width="9.109375" style="3"/>
    <col min="8706" max="8706" width="8" style="3" customWidth="1"/>
    <col min="8707" max="8714" width="10.44140625" style="3" customWidth="1"/>
    <col min="8715" max="8961" width="9.109375" style="3"/>
    <col min="8962" max="8962" width="8" style="3" customWidth="1"/>
    <col min="8963" max="8970" width="10.44140625" style="3" customWidth="1"/>
    <col min="8971" max="9217" width="9.109375" style="3"/>
    <col min="9218" max="9218" width="8" style="3" customWidth="1"/>
    <col min="9219" max="9226" width="10.44140625" style="3" customWidth="1"/>
    <col min="9227" max="9473" width="9.109375" style="3"/>
    <col min="9474" max="9474" width="8" style="3" customWidth="1"/>
    <col min="9475" max="9482" width="10.44140625" style="3" customWidth="1"/>
    <col min="9483" max="9729" width="9.109375" style="3"/>
    <col min="9730" max="9730" width="8" style="3" customWidth="1"/>
    <col min="9731" max="9738" width="10.44140625" style="3" customWidth="1"/>
    <col min="9739" max="9985" width="9.109375" style="3"/>
    <col min="9986" max="9986" width="8" style="3" customWidth="1"/>
    <col min="9987" max="9994" width="10.44140625" style="3" customWidth="1"/>
    <col min="9995" max="10241" width="9.109375" style="3"/>
    <col min="10242" max="10242" width="8" style="3" customWidth="1"/>
    <col min="10243" max="10250" width="10.44140625" style="3" customWidth="1"/>
    <col min="10251" max="10497" width="9.109375" style="3"/>
    <col min="10498" max="10498" width="8" style="3" customWidth="1"/>
    <col min="10499" max="10506" width="10.44140625" style="3" customWidth="1"/>
    <col min="10507" max="10753" width="9.109375" style="3"/>
    <col min="10754" max="10754" width="8" style="3" customWidth="1"/>
    <col min="10755" max="10762" width="10.44140625" style="3" customWidth="1"/>
    <col min="10763" max="11009" width="9.109375" style="3"/>
    <col min="11010" max="11010" width="8" style="3" customWidth="1"/>
    <col min="11011" max="11018" width="10.44140625" style="3" customWidth="1"/>
    <col min="11019" max="11265" width="9.109375" style="3"/>
    <col min="11266" max="11266" width="8" style="3" customWidth="1"/>
    <col min="11267" max="11274" width="10.44140625" style="3" customWidth="1"/>
    <col min="11275" max="11521" width="9.109375" style="3"/>
    <col min="11522" max="11522" width="8" style="3" customWidth="1"/>
    <col min="11523" max="11530" width="10.44140625" style="3" customWidth="1"/>
    <col min="11531" max="11777" width="9.109375" style="3"/>
    <col min="11778" max="11778" width="8" style="3" customWidth="1"/>
    <col min="11779" max="11786" width="10.44140625" style="3" customWidth="1"/>
    <col min="11787" max="12033" width="9.109375" style="3"/>
    <col min="12034" max="12034" width="8" style="3" customWidth="1"/>
    <col min="12035" max="12042" width="10.44140625" style="3" customWidth="1"/>
    <col min="12043" max="12289" width="9.109375" style="3"/>
    <col min="12290" max="12290" width="8" style="3" customWidth="1"/>
    <col min="12291" max="12298" width="10.44140625" style="3" customWidth="1"/>
    <col min="12299" max="12545" width="9.109375" style="3"/>
    <col min="12546" max="12546" width="8" style="3" customWidth="1"/>
    <col min="12547" max="12554" width="10.44140625" style="3" customWidth="1"/>
    <col min="12555" max="12801" width="9.109375" style="3"/>
    <col min="12802" max="12802" width="8" style="3" customWidth="1"/>
    <col min="12803" max="12810" width="10.44140625" style="3" customWidth="1"/>
    <col min="12811" max="13057" width="9.109375" style="3"/>
    <col min="13058" max="13058" width="8" style="3" customWidth="1"/>
    <col min="13059" max="13066" width="10.44140625" style="3" customWidth="1"/>
    <col min="13067" max="13313" width="9.109375" style="3"/>
    <col min="13314" max="13314" width="8" style="3" customWidth="1"/>
    <col min="13315" max="13322" width="10.44140625" style="3" customWidth="1"/>
    <col min="13323" max="13569" width="9.109375" style="3"/>
    <col min="13570" max="13570" width="8" style="3" customWidth="1"/>
    <col min="13571" max="13578" width="10.44140625" style="3" customWidth="1"/>
    <col min="13579" max="13825" width="9.109375" style="3"/>
    <col min="13826" max="13826" width="8" style="3" customWidth="1"/>
    <col min="13827" max="13834" width="10.44140625" style="3" customWidth="1"/>
    <col min="13835" max="14081" width="9.109375" style="3"/>
    <col min="14082" max="14082" width="8" style="3" customWidth="1"/>
    <col min="14083" max="14090" width="10.44140625" style="3" customWidth="1"/>
    <col min="14091" max="14337" width="9.109375" style="3"/>
    <col min="14338" max="14338" width="8" style="3" customWidth="1"/>
    <col min="14339" max="14346" width="10.44140625" style="3" customWidth="1"/>
    <col min="14347" max="14593" width="9.109375" style="3"/>
    <col min="14594" max="14594" width="8" style="3" customWidth="1"/>
    <col min="14595" max="14602" width="10.44140625" style="3" customWidth="1"/>
    <col min="14603" max="14849" width="9.109375" style="3"/>
    <col min="14850" max="14850" width="8" style="3" customWidth="1"/>
    <col min="14851" max="14858" width="10.44140625" style="3" customWidth="1"/>
    <col min="14859" max="15105" width="9.109375" style="3"/>
    <col min="15106" max="15106" width="8" style="3" customWidth="1"/>
    <col min="15107" max="15114" width="10.44140625" style="3" customWidth="1"/>
    <col min="15115" max="15361" width="9.109375" style="3"/>
    <col min="15362" max="15362" width="8" style="3" customWidth="1"/>
    <col min="15363" max="15370" width="10.44140625" style="3" customWidth="1"/>
    <col min="15371" max="15617" width="9.109375" style="3"/>
    <col min="15618" max="15618" width="8" style="3" customWidth="1"/>
    <col min="15619" max="15626" width="10.44140625" style="3" customWidth="1"/>
    <col min="15627" max="15873" width="9.109375" style="3"/>
    <col min="15874" max="15874" width="8" style="3" customWidth="1"/>
    <col min="15875" max="15882" width="10.44140625" style="3" customWidth="1"/>
    <col min="15883" max="16129" width="9.109375" style="3"/>
    <col min="16130" max="16130" width="8" style="3" customWidth="1"/>
    <col min="16131" max="16138" width="10.44140625" style="3" customWidth="1"/>
    <col min="16139" max="16384" width="9.109375" style="3"/>
  </cols>
  <sheetData>
    <row r="5" spans="2:10" ht="13.8" thickBot="1" x14ac:dyDescent="0.3"/>
    <row r="6" spans="2:10" ht="13.8" thickBot="1" x14ac:dyDescent="0.3">
      <c r="C6" s="34" t="s">
        <v>74</v>
      </c>
      <c r="F6" s="37" t="s">
        <v>75</v>
      </c>
      <c r="G6" s="38">
        <v>10</v>
      </c>
      <c r="I6" s="39" t="s">
        <v>76</v>
      </c>
      <c r="J6" s="38">
        <v>1</v>
      </c>
    </row>
    <row r="7" spans="2:10" ht="13.8" thickBot="1" x14ac:dyDescent="0.3"/>
    <row r="8" spans="2:10" ht="13.8" thickBot="1" x14ac:dyDescent="0.3">
      <c r="C8" s="173" t="s">
        <v>77</v>
      </c>
      <c r="D8" s="174"/>
      <c r="E8" s="174"/>
      <c r="F8" s="174"/>
      <c r="G8" s="174"/>
      <c r="H8" s="174"/>
      <c r="I8" s="174"/>
      <c r="J8" s="175"/>
    </row>
    <row r="9" spans="2:10" ht="13.8" thickBot="1" x14ac:dyDescent="0.3">
      <c r="B9" s="40" t="s">
        <v>16</v>
      </c>
      <c r="C9" s="55">
        <v>500</v>
      </c>
      <c r="D9" s="55">
        <v>600</v>
      </c>
      <c r="E9" s="55">
        <v>700</v>
      </c>
      <c r="F9" s="55">
        <v>800</v>
      </c>
      <c r="G9" s="55">
        <v>900</v>
      </c>
      <c r="H9" s="55">
        <v>1000</v>
      </c>
      <c r="I9" s="55">
        <v>1100</v>
      </c>
      <c r="J9" s="56">
        <v>1200</v>
      </c>
    </row>
    <row r="10" spans="2:10" x14ac:dyDescent="0.25">
      <c r="B10" s="41">
        <v>10</v>
      </c>
      <c r="C10" s="42">
        <f t="shared" ref="C10:C41" si="0">PI()/4*($B10/100)^2*$G$6*C$9*$J$6/100</f>
        <v>0.39269908169872414</v>
      </c>
      <c r="D10" s="43">
        <f t="shared" ref="D10:J25" si="1">PI()/4*($B10/100)^2*$G$6*D$9*$J$6/100</f>
        <v>0.47123889803846891</v>
      </c>
      <c r="E10" s="43">
        <f t="shared" si="1"/>
        <v>0.5497787143782138</v>
      </c>
      <c r="F10" s="43">
        <f t="shared" si="1"/>
        <v>0.62831853071795862</v>
      </c>
      <c r="G10" s="43">
        <f t="shared" si="1"/>
        <v>0.70685834705770345</v>
      </c>
      <c r="H10" s="44">
        <f t="shared" si="1"/>
        <v>0.78539816339744828</v>
      </c>
      <c r="I10" s="43">
        <f t="shared" si="1"/>
        <v>0.86393797973719311</v>
      </c>
      <c r="J10" s="45">
        <f t="shared" si="1"/>
        <v>0.94247779607693782</v>
      </c>
    </row>
    <row r="11" spans="2:10" x14ac:dyDescent="0.25">
      <c r="B11" s="41">
        <v>12</v>
      </c>
      <c r="C11" s="46">
        <f t="shared" si="0"/>
        <v>0.56548667764616267</v>
      </c>
      <c r="D11" s="47">
        <f t="shared" si="1"/>
        <v>0.67858401317539518</v>
      </c>
      <c r="E11" s="47">
        <f t="shared" si="1"/>
        <v>0.79168134870462781</v>
      </c>
      <c r="F11" s="47">
        <f t="shared" si="1"/>
        <v>0.90477868423386032</v>
      </c>
      <c r="G11" s="47">
        <f t="shared" si="1"/>
        <v>1.0178760197630929</v>
      </c>
      <c r="H11" s="48">
        <f t="shared" si="1"/>
        <v>1.1309733552923253</v>
      </c>
      <c r="I11" s="47">
        <f t="shared" si="1"/>
        <v>1.244070690821558</v>
      </c>
      <c r="J11" s="49">
        <f t="shared" si="1"/>
        <v>1.3571680263507904</v>
      </c>
    </row>
    <row r="12" spans="2:10" x14ac:dyDescent="0.25">
      <c r="B12" s="41">
        <v>14</v>
      </c>
      <c r="C12" s="46">
        <f t="shared" si="0"/>
        <v>0.7696902001294994</v>
      </c>
      <c r="D12" s="47">
        <f t="shared" si="1"/>
        <v>0.92362824015539924</v>
      </c>
      <c r="E12" s="47">
        <f t="shared" si="1"/>
        <v>1.0775662801812993</v>
      </c>
      <c r="F12" s="47">
        <f t="shared" si="1"/>
        <v>1.2315043202071991</v>
      </c>
      <c r="G12" s="47">
        <f t="shared" si="1"/>
        <v>1.385442360233099</v>
      </c>
      <c r="H12" s="48">
        <f t="shared" si="1"/>
        <v>1.5393804002589988</v>
      </c>
      <c r="I12" s="47">
        <f t="shared" si="1"/>
        <v>1.6933184402848989</v>
      </c>
      <c r="J12" s="49">
        <f t="shared" si="1"/>
        <v>1.8472564803107985</v>
      </c>
    </row>
    <row r="13" spans="2:10" x14ac:dyDescent="0.25">
      <c r="B13" s="41">
        <v>16</v>
      </c>
      <c r="C13" s="46">
        <f t="shared" si="0"/>
        <v>1.0053096491487337</v>
      </c>
      <c r="D13" s="47">
        <f t="shared" si="1"/>
        <v>1.2063715789784804</v>
      </c>
      <c r="E13" s="47">
        <f t="shared" si="1"/>
        <v>1.4074335088082273</v>
      </c>
      <c r="F13" s="47">
        <f t="shared" si="1"/>
        <v>1.6084954386379742</v>
      </c>
      <c r="G13" s="47">
        <f t="shared" si="1"/>
        <v>1.8095573684677209</v>
      </c>
      <c r="H13" s="48">
        <f t="shared" si="1"/>
        <v>2.0106192982974673</v>
      </c>
      <c r="I13" s="47">
        <f t="shared" si="1"/>
        <v>2.211681228127214</v>
      </c>
      <c r="J13" s="49">
        <f t="shared" si="1"/>
        <v>2.4127431579569607</v>
      </c>
    </row>
    <row r="14" spans="2:10" x14ac:dyDescent="0.25">
      <c r="B14" s="41">
        <v>18</v>
      </c>
      <c r="C14" s="46">
        <f t="shared" si="0"/>
        <v>1.2723450247038661</v>
      </c>
      <c r="D14" s="47">
        <f t="shared" si="1"/>
        <v>1.5268140296446393</v>
      </c>
      <c r="E14" s="47">
        <f t="shared" si="1"/>
        <v>1.7812830345854127</v>
      </c>
      <c r="F14" s="47">
        <f t="shared" si="1"/>
        <v>2.0357520395261859</v>
      </c>
      <c r="G14" s="47">
        <f t="shared" si="1"/>
        <v>2.2902210444669593</v>
      </c>
      <c r="H14" s="48">
        <f t="shared" si="1"/>
        <v>2.5446900494077322</v>
      </c>
      <c r="I14" s="47">
        <f t="shared" si="1"/>
        <v>2.7991590543485056</v>
      </c>
      <c r="J14" s="49">
        <f t="shared" si="1"/>
        <v>3.0536280592892786</v>
      </c>
    </row>
    <row r="15" spans="2:10" x14ac:dyDescent="0.25">
      <c r="B15" s="41">
        <v>20</v>
      </c>
      <c r="C15" s="46">
        <f t="shared" si="0"/>
        <v>1.5707963267948966</v>
      </c>
      <c r="D15" s="47">
        <f t="shared" si="1"/>
        <v>1.8849555921538756</v>
      </c>
      <c r="E15" s="47">
        <f t="shared" si="1"/>
        <v>2.1991148575128552</v>
      </c>
      <c r="F15" s="47">
        <f t="shared" si="1"/>
        <v>2.5132741228718345</v>
      </c>
      <c r="G15" s="47">
        <f t="shared" si="1"/>
        <v>2.8274333882308138</v>
      </c>
      <c r="H15" s="48">
        <f t="shared" si="1"/>
        <v>3.1415926535897931</v>
      </c>
      <c r="I15" s="47">
        <f t="shared" si="1"/>
        <v>3.4557519189487724</v>
      </c>
      <c r="J15" s="49">
        <f t="shared" si="1"/>
        <v>3.7699111843077513</v>
      </c>
    </row>
    <row r="16" spans="2:10" x14ac:dyDescent="0.25">
      <c r="B16" s="41">
        <v>23</v>
      </c>
      <c r="C16" s="46">
        <f t="shared" si="0"/>
        <v>2.0773781421862507</v>
      </c>
      <c r="D16" s="47">
        <f t="shared" si="1"/>
        <v>2.4928537706235012</v>
      </c>
      <c r="E16" s="47">
        <f t="shared" si="1"/>
        <v>2.9083293990607513</v>
      </c>
      <c r="F16" s="47">
        <f t="shared" si="1"/>
        <v>3.3238050274980013</v>
      </c>
      <c r="G16" s="47">
        <f t="shared" si="1"/>
        <v>3.7392806559352518</v>
      </c>
      <c r="H16" s="48">
        <f t="shared" si="1"/>
        <v>4.1547562843725014</v>
      </c>
      <c r="I16" s="47">
        <f t="shared" si="1"/>
        <v>4.5702319128097519</v>
      </c>
      <c r="J16" s="49">
        <f t="shared" si="1"/>
        <v>4.9857075412470024</v>
      </c>
    </row>
    <row r="17" spans="2:10" x14ac:dyDescent="0.25">
      <c r="B17" s="41">
        <v>26</v>
      </c>
      <c r="C17" s="46">
        <f t="shared" si="0"/>
        <v>2.6546457922833753</v>
      </c>
      <c r="D17" s="47">
        <f t="shared" si="1"/>
        <v>3.1855749507400501</v>
      </c>
      <c r="E17" s="47">
        <f t="shared" si="1"/>
        <v>3.7165041091967259</v>
      </c>
      <c r="F17" s="47">
        <f t="shared" si="1"/>
        <v>4.2474332676534008</v>
      </c>
      <c r="G17" s="47">
        <f t="shared" si="1"/>
        <v>4.7783624261100757</v>
      </c>
      <c r="H17" s="48">
        <f t="shared" si="1"/>
        <v>5.3092915845667505</v>
      </c>
      <c r="I17" s="47">
        <f t="shared" si="1"/>
        <v>5.8402207430234263</v>
      </c>
      <c r="J17" s="49">
        <f t="shared" si="1"/>
        <v>6.3711499014801003</v>
      </c>
    </row>
    <row r="18" spans="2:10" x14ac:dyDescent="0.25">
      <c r="B18" s="41">
        <v>29</v>
      </c>
      <c r="C18" s="46">
        <f t="shared" si="0"/>
        <v>3.3025992770862702</v>
      </c>
      <c r="D18" s="47">
        <f t="shared" si="1"/>
        <v>3.963119132503524</v>
      </c>
      <c r="E18" s="47">
        <f t="shared" si="1"/>
        <v>4.6236389879207778</v>
      </c>
      <c r="F18" s="47">
        <f t="shared" si="1"/>
        <v>5.284158843338032</v>
      </c>
      <c r="G18" s="47">
        <f t="shared" si="1"/>
        <v>5.9446786987552853</v>
      </c>
      <c r="H18" s="48">
        <f t="shared" si="1"/>
        <v>6.6051985541725404</v>
      </c>
      <c r="I18" s="47">
        <f t="shared" si="1"/>
        <v>7.2657184095897938</v>
      </c>
      <c r="J18" s="49">
        <f t="shared" si="1"/>
        <v>7.926238265007048</v>
      </c>
    </row>
    <row r="19" spans="2:10" x14ac:dyDescent="0.25">
      <c r="B19" s="41">
        <v>32</v>
      </c>
      <c r="C19" s="46">
        <f t="shared" si="0"/>
        <v>4.0212385965949347</v>
      </c>
      <c r="D19" s="47">
        <f t="shared" si="1"/>
        <v>4.8254863159139214</v>
      </c>
      <c r="E19" s="47">
        <f t="shared" si="1"/>
        <v>5.6297340352329091</v>
      </c>
      <c r="F19" s="47">
        <f t="shared" si="1"/>
        <v>6.4339817545518967</v>
      </c>
      <c r="G19" s="47">
        <f t="shared" si="1"/>
        <v>7.2382294738708834</v>
      </c>
      <c r="H19" s="48">
        <f t="shared" si="1"/>
        <v>8.0424771931898693</v>
      </c>
      <c r="I19" s="47">
        <f t="shared" si="1"/>
        <v>8.8467249125088561</v>
      </c>
      <c r="J19" s="49">
        <f t="shared" si="1"/>
        <v>9.6509726318278428</v>
      </c>
    </row>
    <row r="20" spans="2:10" x14ac:dyDescent="0.25">
      <c r="B20" s="41">
        <v>35</v>
      </c>
      <c r="C20" s="46">
        <f t="shared" si="0"/>
        <v>4.8105637508093704</v>
      </c>
      <c r="D20" s="47">
        <f t="shared" si="1"/>
        <v>5.7726765009712437</v>
      </c>
      <c r="E20" s="47">
        <f t="shared" si="1"/>
        <v>6.734789251133118</v>
      </c>
      <c r="F20" s="47">
        <f t="shared" si="1"/>
        <v>7.6969020012949922</v>
      </c>
      <c r="G20" s="47">
        <f t="shared" si="1"/>
        <v>8.6590147514568656</v>
      </c>
      <c r="H20" s="48">
        <f t="shared" si="1"/>
        <v>9.6211275016187408</v>
      </c>
      <c r="I20" s="47">
        <f t="shared" si="1"/>
        <v>10.583240251780614</v>
      </c>
      <c r="J20" s="49">
        <f t="shared" si="1"/>
        <v>11.545353001942487</v>
      </c>
    </row>
    <row r="21" spans="2:10" x14ac:dyDescent="0.25">
      <c r="B21" s="41">
        <v>38</v>
      </c>
      <c r="C21" s="46">
        <f t="shared" si="0"/>
        <v>5.6705747397295774</v>
      </c>
      <c r="D21" s="47">
        <f t="shared" si="1"/>
        <v>6.8046896876754923</v>
      </c>
      <c r="E21" s="47">
        <f t="shared" si="1"/>
        <v>7.9388046356214081</v>
      </c>
      <c r="F21" s="47">
        <f t="shared" si="1"/>
        <v>9.0729195835673231</v>
      </c>
      <c r="G21" s="47">
        <f t="shared" si="1"/>
        <v>10.207034531513239</v>
      </c>
      <c r="H21" s="48">
        <f t="shared" si="1"/>
        <v>11.341149479459155</v>
      </c>
      <c r="I21" s="47">
        <f t="shared" si="1"/>
        <v>12.475264427405071</v>
      </c>
      <c r="J21" s="49">
        <f t="shared" si="1"/>
        <v>13.609379375350985</v>
      </c>
    </row>
    <row r="22" spans="2:10" x14ac:dyDescent="0.25">
      <c r="B22" s="41">
        <v>41</v>
      </c>
      <c r="C22" s="46">
        <f t="shared" si="0"/>
        <v>6.6012715633555512</v>
      </c>
      <c r="D22" s="47">
        <f t="shared" si="1"/>
        <v>7.9215258760266609</v>
      </c>
      <c r="E22" s="47">
        <f t="shared" si="1"/>
        <v>9.2417801886977706</v>
      </c>
      <c r="F22" s="47">
        <f t="shared" si="1"/>
        <v>10.562034501368879</v>
      </c>
      <c r="G22" s="47">
        <f t="shared" si="1"/>
        <v>11.882288814039992</v>
      </c>
      <c r="H22" s="48">
        <f t="shared" si="1"/>
        <v>13.202543126711102</v>
      </c>
      <c r="I22" s="47">
        <f t="shared" si="1"/>
        <v>14.522797439382211</v>
      </c>
      <c r="J22" s="49">
        <f t="shared" si="1"/>
        <v>15.843051752053322</v>
      </c>
    </row>
    <row r="23" spans="2:10" x14ac:dyDescent="0.25">
      <c r="B23" s="41">
        <v>44</v>
      </c>
      <c r="C23" s="46">
        <f t="shared" si="0"/>
        <v>7.6026542216872999</v>
      </c>
      <c r="D23" s="47">
        <f t="shared" si="1"/>
        <v>9.1231850660247602</v>
      </c>
      <c r="E23" s="47">
        <f t="shared" si="1"/>
        <v>10.643715910362218</v>
      </c>
      <c r="F23" s="47">
        <f t="shared" si="1"/>
        <v>12.164246754699679</v>
      </c>
      <c r="G23" s="47">
        <f t="shared" si="1"/>
        <v>13.684777599037139</v>
      </c>
      <c r="H23" s="48">
        <f t="shared" si="1"/>
        <v>15.2053084433746</v>
      </c>
      <c r="I23" s="47">
        <f t="shared" si="1"/>
        <v>16.725839287712059</v>
      </c>
      <c r="J23" s="49">
        <f t="shared" si="1"/>
        <v>18.24637013204952</v>
      </c>
    </row>
    <row r="24" spans="2:10" x14ac:dyDescent="0.25">
      <c r="B24" s="41">
        <v>47</v>
      </c>
      <c r="C24" s="46">
        <f t="shared" si="0"/>
        <v>8.6747227147248154</v>
      </c>
      <c r="D24" s="47">
        <f t="shared" si="1"/>
        <v>10.409667257669778</v>
      </c>
      <c r="E24" s="47">
        <f t="shared" si="1"/>
        <v>12.144611800614742</v>
      </c>
      <c r="F24" s="47">
        <f t="shared" si="1"/>
        <v>13.879556343559704</v>
      </c>
      <c r="G24" s="47">
        <f t="shared" si="1"/>
        <v>15.614500886504668</v>
      </c>
      <c r="H24" s="48">
        <f t="shared" si="1"/>
        <v>17.349445429449631</v>
      </c>
      <c r="I24" s="47">
        <f t="shared" si="1"/>
        <v>19.084389972394593</v>
      </c>
      <c r="J24" s="49">
        <f t="shared" si="1"/>
        <v>20.819334515339555</v>
      </c>
    </row>
    <row r="25" spans="2:10" x14ac:dyDescent="0.25">
      <c r="B25" s="41">
        <v>50</v>
      </c>
      <c r="C25" s="46">
        <f t="shared" si="0"/>
        <v>9.8174770424681039</v>
      </c>
      <c r="D25" s="47">
        <f t="shared" si="1"/>
        <v>11.780972450961723</v>
      </c>
      <c r="E25" s="47">
        <f t="shared" si="1"/>
        <v>13.744467859455344</v>
      </c>
      <c r="F25" s="47">
        <f t="shared" si="1"/>
        <v>15.707963267948964</v>
      </c>
      <c r="G25" s="47">
        <f t="shared" si="1"/>
        <v>17.671458676442587</v>
      </c>
      <c r="H25" s="48">
        <f t="shared" si="1"/>
        <v>19.634954084936208</v>
      </c>
      <c r="I25" s="47">
        <f t="shared" si="1"/>
        <v>21.598449493429825</v>
      </c>
      <c r="J25" s="49">
        <f t="shared" si="1"/>
        <v>23.561944901923447</v>
      </c>
    </row>
    <row r="26" spans="2:10" x14ac:dyDescent="0.25">
      <c r="B26" s="41">
        <v>55</v>
      </c>
      <c r="C26" s="46">
        <f t="shared" si="0"/>
        <v>11.879147221386409</v>
      </c>
      <c r="D26" s="47">
        <f t="shared" ref="D26:J26" si="2">PI()/4*($B26/100)^2*$G$6*D$9*$J$6/100</f>
        <v>14.254976665663689</v>
      </c>
      <c r="E26" s="47">
        <f t="shared" si="2"/>
        <v>16.63080610994097</v>
      </c>
      <c r="F26" s="47">
        <f t="shared" si="2"/>
        <v>19.006635554218253</v>
      </c>
      <c r="G26" s="47">
        <f t="shared" si="2"/>
        <v>21.382464998495536</v>
      </c>
      <c r="H26" s="48">
        <f t="shared" si="2"/>
        <v>23.758294442772819</v>
      </c>
      <c r="I26" s="47">
        <f t="shared" si="2"/>
        <v>26.134123887050094</v>
      </c>
      <c r="J26" s="49">
        <f t="shared" si="2"/>
        <v>28.509953331327377</v>
      </c>
    </row>
    <row r="27" spans="2:10" x14ac:dyDescent="0.25">
      <c r="B27" s="41">
        <v>60</v>
      </c>
      <c r="C27" s="46">
        <f t="shared" si="0"/>
        <v>14.137166941154069</v>
      </c>
      <c r="D27" s="47">
        <f t="shared" ref="D27:J41" si="3">PI()/4*($B27/100)^2*$G$6*D$9*$J$6/100</f>
        <v>16.964600329384883</v>
      </c>
      <c r="E27" s="47">
        <f t="shared" si="3"/>
        <v>19.792033717615698</v>
      </c>
      <c r="F27" s="47">
        <f t="shared" si="3"/>
        <v>22.61946710584651</v>
      </c>
      <c r="G27" s="47">
        <f t="shared" si="3"/>
        <v>25.446900494077322</v>
      </c>
      <c r="H27" s="48">
        <f t="shared" si="3"/>
        <v>28.274333882308138</v>
      </c>
      <c r="I27" s="47">
        <f t="shared" si="3"/>
        <v>31.101767270538954</v>
      </c>
      <c r="J27" s="49">
        <f t="shared" si="3"/>
        <v>33.929200658769766</v>
      </c>
    </row>
    <row r="28" spans="2:10" x14ac:dyDescent="0.25">
      <c r="B28" s="41">
        <v>65</v>
      </c>
      <c r="C28" s="46">
        <f t="shared" si="0"/>
        <v>16.591536201771095</v>
      </c>
      <c r="D28" s="47">
        <f t="shared" si="3"/>
        <v>19.909843442125315</v>
      </c>
      <c r="E28" s="47">
        <f t="shared" si="3"/>
        <v>23.22815068247953</v>
      </c>
      <c r="F28" s="47">
        <f t="shared" si="3"/>
        <v>26.546457922833753</v>
      </c>
      <c r="G28" s="47">
        <f t="shared" si="3"/>
        <v>29.864765163187972</v>
      </c>
      <c r="H28" s="48">
        <f t="shared" si="3"/>
        <v>33.183072403542191</v>
      </c>
      <c r="I28" s="47">
        <f t="shared" si="3"/>
        <v>36.501379643896414</v>
      </c>
      <c r="J28" s="49">
        <f t="shared" si="3"/>
        <v>39.819686884250629</v>
      </c>
    </row>
    <row r="29" spans="2:10" x14ac:dyDescent="0.25">
      <c r="B29" s="41">
        <v>70</v>
      </c>
      <c r="C29" s="46">
        <f t="shared" si="0"/>
        <v>19.242255003237482</v>
      </c>
      <c r="D29" s="47">
        <f t="shared" si="3"/>
        <v>23.090706003884975</v>
      </c>
      <c r="E29" s="47">
        <f t="shared" si="3"/>
        <v>26.939157004532472</v>
      </c>
      <c r="F29" s="47">
        <f t="shared" si="3"/>
        <v>30.787608005179969</v>
      </c>
      <c r="G29" s="47">
        <f t="shared" si="3"/>
        <v>34.636059005827462</v>
      </c>
      <c r="H29" s="48">
        <f t="shared" si="3"/>
        <v>38.484510006474963</v>
      </c>
      <c r="I29" s="47">
        <f t="shared" si="3"/>
        <v>42.332961007122456</v>
      </c>
      <c r="J29" s="49">
        <f t="shared" si="3"/>
        <v>46.18141200776995</v>
      </c>
    </row>
    <row r="30" spans="2:10" x14ac:dyDescent="0.25">
      <c r="B30" s="41">
        <v>75</v>
      </c>
      <c r="C30" s="46">
        <f t="shared" si="0"/>
        <v>22.089323345553236</v>
      </c>
      <c r="D30" s="47">
        <f t="shared" si="3"/>
        <v>26.507188014663878</v>
      </c>
      <c r="E30" s="47">
        <f t="shared" si="3"/>
        <v>30.925052683774524</v>
      </c>
      <c r="F30" s="47">
        <f t="shared" si="3"/>
        <v>35.342917352885173</v>
      </c>
      <c r="G30" s="47">
        <f t="shared" si="3"/>
        <v>39.760782021995823</v>
      </c>
      <c r="H30" s="48">
        <f t="shared" si="3"/>
        <v>44.178646691106472</v>
      </c>
      <c r="I30" s="47">
        <f t="shared" si="3"/>
        <v>48.596511360217107</v>
      </c>
      <c r="J30" s="49">
        <f t="shared" si="3"/>
        <v>53.014376029327757</v>
      </c>
    </row>
    <row r="31" spans="2:10" x14ac:dyDescent="0.25">
      <c r="B31" s="41">
        <v>80</v>
      </c>
      <c r="C31" s="46">
        <f t="shared" si="0"/>
        <v>25.132741228718345</v>
      </c>
      <c r="D31" s="47">
        <f t="shared" si="3"/>
        <v>30.15928947446201</v>
      </c>
      <c r="E31" s="47">
        <f t="shared" si="3"/>
        <v>35.185837720205683</v>
      </c>
      <c r="F31" s="47">
        <f t="shared" si="3"/>
        <v>40.212385965949352</v>
      </c>
      <c r="G31" s="47">
        <f t="shared" si="3"/>
        <v>45.238934211693021</v>
      </c>
      <c r="H31" s="48">
        <f t="shared" si="3"/>
        <v>50.26548245743669</v>
      </c>
      <c r="I31" s="47">
        <f t="shared" si="3"/>
        <v>55.292030703180359</v>
      </c>
      <c r="J31" s="49">
        <f t="shared" si="3"/>
        <v>60.318578948924021</v>
      </c>
    </row>
    <row r="32" spans="2:10" x14ac:dyDescent="0.25">
      <c r="B32" s="41">
        <v>85</v>
      </c>
      <c r="C32" s="46">
        <f t="shared" si="0"/>
        <v>28.372508652732812</v>
      </c>
      <c r="D32" s="47">
        <f t="shared" si="3"/>
        <v>34.047010383279378</v>
      </c>
      <c r="E32" s="47">
        <f t="shared" si="3"/>
        <v>39.721512113825945</v>
      </c>
      <c r="F32" s="47">
        <f t="shared" si="3"/>
        <v>45.396013844372504</v>
      </c>
      <c r="G32" s="47">
        <f t="shared" si="3"/>
        <v>51.070515574919064</v>
      </c>
      <c r="H32" s="48">
        <f t="shared" si="3"/>
        <v>56.745017305465623</v>
      </c>
      <c r="I32" s="47">
        <f t="shared" si="3"/>
        <v>62.419519036012197</v>
      </c>
      <c r="J32" s="49">
        <f t="shared" si="3"/>
        <v>68.094020766558756</v>
      </c>
    </row>
    <row r="33" spans="2:10" x14ac:dyDescent="0.25">
      <c r="B33" s="41">
        <v>90</v>
      </c>
      <c r="C33" s="46">
        <f t="shared" si="0"/>
        <v>31.808625617596658</v>
      </c>
      <c r="D33" s="47">
        <f t="shared" si="3"/>
        <v>38.170350741115989</v>
      </c>
      <c r="E33" s="47">
        <f t="shared" si="3"/>
        <v>44.532075864635317</v>
      </c>
      <c r="F33" s="47">
        <f t="shared" si="3"/>
        <v>50.893800988154652</v>
      </c>
      <c r="G33" s="47">
        <f t="shared" si="3"/>
        <v>57.25552611167398</v>
      </c>
      <c r="H33" s="48">
        <f t="shared" si="3"/>
        <v>63.617251235193315</v>
      </c>
      <c r="I33" s="47">
        <f t="shared" si="3"/>
        <v>69.978976358712643</v>
      </c>
      <c r="J33" s="49">
        <f t="shared" si="3"/>
        <v>76.340701482231978</v>
      </c>
    </row>
    <row r="34" spans="2:10" x14ac:dyDescent="0.25">
      <c r="B34" s="41">
        <v>95</v>
      </c>
      <c r="C34" s="46">
        <f t="shared" si="0"/>
        <v>35.441092123309858</v>
      </c>
      <c r="D34" s="47">
        <f t="shared" si="3"/>
        <v>42.529310547971825</v>
      </c>
      <c r="E34" s="47">
        <f t="shared" si="3"/>
        <v>49.617528972633799</v>
      </c>
      <c r="F34" s="47">
        <f t="shared" si="3"/>
        <v>56.705747397295767</v>
      </c>
      <c r="G34" s="47">
        <f t="shared" si="3"/>
        <v>63.793965821957734</v>
      </c>
      <c r="H34" s="48">
        <f t="shared" si="3"/>
        <v>70.882184246619715</v>
      </c>
      <c r="I34" s="47">
        <f t="shared" si="3"/>
        <v>77.970402671281676</v>
      </c>
      <c r="J34" s="49">
        <f t="shared" si="3"/>
        <v>85.05862109594365</v>
      </c>
    </row>
    <row r="35" spans="2:10" x14ac:dyDescent="0.25">
      <c r="B35" s="41">
        <v>100</v>
      </c>
      <c r="C35" s="46">
        <f t="shared" si="0"/>
        <v>39.269908169872416</v>
      </c>
      <c r="D35" s="47">
        <f t="shared" si="3"/>
        <v>47.123889803846893</v>
      </c>
      <c r="E35" s="47">
        <f t="shared" si="3"/>
        <v>54.977871437821378</v>
      </c>
      <c r="F35" s="47">
        <f t="shared" si="3"/>
        <v>62.831853071795855</v>
      </c>
      <c r="G35" s="47">
        <f t="shared" si="3"/>
        <v>70.685834705770347</v>
      </c>
      <c r="H35" s="48">
        <f t="shared" si="3"/>
        <v>78.539816339744831</v>
      </c>
      <c r="I35" s="47">
        <f t="shared" si="3"/>
        <v>86.393797973719302</v>
      </c>
      <c r="J35" s="49">
        <f t="shared" si="3"/>
        <v>94.247779607693786</v>
      </c>
    </row>
    <row r="36" spans="2:10" x14ac:dyDescent="0.25">
      <c r="B36" s="41">
        <v>110</v>
      </c>
      <c r="C36" s="46">
        <f t="shared" si="0"/>
        <v>47.516588885545637</v>
      </c>
      <c r="D36" s="47">
        <f t="shared" si="3"/>
        <v>57.019906662654755</v>
      </c>
      <c r="E36" s="47">
        <f t="shared" si="3"/>
        <v>66.523224439763879</v>
      </c>
      <c r="F36" s="47">
        <f t="shared" si="3"/>
        <v>76.026542216873011</v>
      </c>
      <c r="G36" s="47">
        <f t="shared" si="3"/>
        <v>85.529859993982143</v>
      </c>
      <c r="H36" s="48">
        <f t="shared" si="3"/>
        <v>95.033177771091275</v>
      </c>
      <c r="I36" s="47">
        <f t="shared" si="3"/>
        <v>104.53649554820038</v>
      </c>
      <c r="J36" s="49">
        <f t="shared" si="3"/>
        <v>114.03981332530951</v>
      </c>
    </row>
    <row r="37" spans="2:10" x14ac:dyDescent="0.25">
      <c r="B37" s="41">
        <v>120</v>
      </c>
      <c r="C37" s="46">
        <f t="shared" si="0"/>
        <v>56.548667764616276</v>
      </c>
      <c r="D37" s="47">
        <f t="shared" si="3"/>
        <v>67.858401317539531</v>
      </c>
      <c r="E37" s="47">
        <f t="shared" si="3"/>
        <v>79.168134870462794</v>
      </c>
      <c r="F37" s="47">
        <f t="shared" si="3"/>
        <v>90.477868423386042</v>
      </c>
      <c r="G37" s="47">
        <f t="shared" si="3"/>
        <v>101.78760197630929</v>
      </c>
      <c r="H37" s="48">
        <f t="shared" si="3"/>
        <v>113.09733552923255</v>
      </c>
      <c r="I37" s="47">
        <f t="shared" si="3"/>
        <v>124.40706908215581</v>
      </c>
      <c r="J37" s="49">
        <f t="shared" si="3"/>
        <v>135.71680263507906</v>
      </c>
    </row>
    <row r="38" spans="2:10" x14ac:dyDescent="0.25">
      <c r="B38" s="41">
        <v>130</v>
      </c>
      <c r="C38" s="46">
        <f t="shared" si="0"/>
        <v>66.366144807084382</v>
      </c>
      <c r="D38" s="47">
        <f t="shared" si="3"/>
        <v>79.639373768501258</v>
      </c>
      <c r="E38" s="47">
        <f t="shared" si="3"/>
        <v>92.91260272991812</v>
      </c>
      <c r="F38" s="47">
        <f t="shared" si="3"/>
        <v>106.18583169133501</v>
      </c>
      <c r="G38" s="47">
        <f t="shared" si="3"/>
        <v>119.45906065275189</v>
      </c>
      <c r="H38" s="48">
        <f t="shared" si="3"/>
        <v>132.73228961416876</v>
      </c>
      <c r="I38" s="47">
        <f t="shared" si="3"/>
        <v>146.00551857558565</v>
      </c>
      <c r="J38" s="49">
        <f t="shared" si="3"/>
        <v>159.27874753700252</v>
      </c>
    </row>
    <row r="39" spans="2:10" x14ac:dyDescent="0.25">
      <c r="B39" s="41">
        <v>140</v>
      </c>
      <c r="C39" s="46">
        <f t="shared" si="0"/>
        <v>76.969020012949926</v>
      </c>
      <c r="D39" s="47">
        <f t="shared" si="3"/>
        <v>92.3628240155399</v>
      </c>
      <c r="E39" s="47">
        <f t="shared" si="3"/>
        <v>107.75662801812989</v>
      </c>
      <c r="F39" s="47">
        <f t="shared" si="3"/>
        <v>123.15043202071988</v>
      </c>
      <c r="G39" s="47">
        <f t="shared" si="3"/>
        <v>138.54423602330985</v>
      </c>
      <c r="H39" s="48">
        <f t="shared" si="3"/>
        <v>153.93804002589985</v>
      </c>
      <c r="I39" s="47">
        <f t="shared" si="3"/>
        <v>169.33184402848983</v>
      </c>
      <c r="J39" s="49">
        <f t="shared" si="3"/>
        <v>184.7256480310798</v>
      </c>
    </row>
    <row r="40" spans="2:10" x14ac:dyDescent="0.25">
      <c r="B40" s="41">
        <v>150</v>
      </c>
      <c r="C40" s="46">
        <f t="shared" si="0"/>
        <v>88.357293382212944</v>
      </c>
      <c r="D40" s="47">
        <f t="shared" si="3"/>
        <v>106.02875205865551</v>
      </c>
      <c r="E40" s="47">
        <f t="shared" si="3"/>
        <v>123.7002107350981</v>
      </c>
      <c r="F40" s="47">
        <f t="shared" si="3"/>
        <v>141.37166941154069</v>
      </c>
      <c r="G40" s="47">
        <f t="shared" si="3"/>
        <v>159.04312808798329</v>
      </c>
      <c r="H40" s="48">
        <f t="shared" si="3"/>
        <v>176.71458676442589</v>
      </c>
      <c r="I40" s="47">
        <f t="shared" si="3"/>
        <v>194.38604544086843</v>
      </c>
      <c r="J40" s="49">
        <f t="shared" si="3"/>
        <v>212.05750411731103</v>
      </c>
    </row>
    <row r="41" spans="2:10" ht="13.8" thickBot="1" x14ac:dyDescent="0.3">
      <c r="B41" s="50">
        <v>200</v>
      </c>
      <c r="C41" s="51">
        <f t="shared" si="0"/>
        <v>157.07963267948966</v>
      </c>
      <c r="D41" s="52">
        <f t="shared" si="3"/>
        <v>188.49555921538757</v>
      </c>
      <c r="E41" s="52">
        <f t="shared" si="3"/>
        <v>219.91148575128551</v>
      </c>
      <c r="F41" s="52">
        <f t="shared" si="3"/>
        <v>251.32741228718342</v>
      </c>
      <c r="G41" s="52">
        <f t="shared" si="3"/>
        <v>282.74333882308139</v>
      </c>
      <c r="H41" s="53">
        <f t="shared" si="3"/>
        <v>314.15926535897933</v>
      </c>
      <c r="I41" s="52">
        <f t="shared" si="3"/>
        <v>345.57519189487721</v>
      </c>
      <c r="J41" s="54">
        <f t="shared" si="3"/>
        <v>376.99111843077515</v>
      </c>
    </row>
  </sheetData>
  <mergeCells count="1">
    <mergeCell ref="C8:J8"/>
  </mergeCells>
  <pageMargins left="0.75" right="0.75" top="1" bottom="1" header="0.5" footer="0.5"/>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2"/>
  <sheetViews>
    <sheetView workbookViewId="0">
      <selection activeCell="E27" sqref="E27"/>
    </sheetView>
  </sheetViews>
  <sheetFormatPr defaultColWidth="9.109375" defaultRowHeight="13.2" x14ac:dyDescent="0.25"/>
  <cols>
    <col min="1" max="1" width="15.109375" style="3" customWidth="1"/>
    <col min="2" max="2" width="2.109375" style="3" customWidth="1"/>
    <col min="3" max="3" width="28.88671875" style="3" customWidth="1"/>
    <col min="4" max="4" width="7.109375" style="2" customWidth="1"/>
    <col min="5" max="5" width="15.5546875" style="2" customWidth="1"/>
    <col min="6" max="6" width="1.88671875" style="3" customWidth="1"/>
    <col min="7" max="7" width="5.33203125" style="3" customWidth="1"/>
    <col min="8" max="16" width="9.109375" style="3"/>
    <col min="17" max="17" width="3.88671875" style="3" customWidth="1"/>
    <col min="18" max="18" width="22.88671875" style="3" bestFit="1" customWidth="1"/>
    <col min="19" max="19" width="10.88671875" style="2" customWidth="1"/>
    <col min="20" max="22" width="10.88671875" style="3" customWidth="1"/>
    <col min="23" max="23" width="10.88671875" style="2" customWidth="1"/>
    <col min="24" max="16384" width="9.109375" style="3"/>
  </cols>
  <sheetData>
    <row r="1" spans="1:23" ht="13.8" thickBot="1" x14ac:dyDescent="0.3"/>
    <row r="2" spans="1:23" ht="28.2" customHeight="1" x14ac:dyDescent="0.3">
      <c r="B2" s="177" t="s">
        <v>78</v>
      </c>
      <c r="C2" s="189"/>
      <c r="D2" s="162" t="s">
        <v>205</v>
      </c>
      <c r="E2" s="162"/>
      <c r="F2" s="162"/>
      <c r="G2" s="162"/>
      <c r="H2" s="162"/>
      <c r="I2" s="162"/>
      <c r="J2" s="162"/>
      <c r="K2" s="162"/>
      <c r="L2" s="162"/>
      <c r="M2" s="9"/>
      <c r="N2" s="57"/>
      <c r="O2" s="58"/>
    </row>
    <row r="3" spans="1:23" ht="19.2" customHeight="1" thickBot="1" x14ac:dyDescent="0.35">
      <c r="B3" s="190"/>
      <c r="C3" s="191"/>
      <c r="D3" s="163" t="s">
        <v>204</v>
      </c>
      <c r="E3" s="163"/>
      <c r="F3" s="163"/>
      <c r="G3" s="163"/>
      <c r="H3" s="163"/>
      <c r="I3" s="163"/>
      <c r="J3" s="163"/>
      <c r="K3" s="163"/>
      <c r="L3" s="163"/>
      <c r="M3" s="18"/>
      <c r="N3" s="59"/>
      <c r="O3" s="60"/>
    </row>
    <row r="4" spans="1:23" ht="14.4" x14ac:dyDescent="0.3">
      <c r="D4" s="1"/>
      <c r="E4" s="1"/>
      <c r="F4"/>
      <c r="G4"/>
      <c r="H4"/>
      <c r="I4"/>
      <c r="J4"/>
      <c r="K4"/>
      <c r="L4"/>
      <c r="M4"/>
      <c r="N4"/>
      <c r="O4"/>
    </row>
    <row r="5" spans="1:23" ht="14.4" x14ac:dyDescent="0.3">
      <c r="D5" s="61"/>
      <c r="E5" s="186" t="s">
        <v>79</v>
      </c>
      <c r="G5" s="61"/>
      <c r="H5" s="61"/>
      <c r="I5" s="61"/>
      <c r="J5" s="62"/>
      <c r="K5" s="62"/>
      <c r="L5" s="62"/>
      <c r="M5"/>
      <c r="N5" s="62"/>
      <c r="O5"/>
    </row>
    <row r="6" spans="1:23" ht="14.4" x14ac:dyDescent="0.3">
      <c r="D6" s="61"/>
      <c r="E6" s="187" t="s">
        <v>80</v>
      </c>
      <c r="G6" s="61"/>
      <c r="H6" s="61"/>
      <c r="I6" s="61"/>
      <c r="J6" s="62"/>
      <c r="K6" s="62"/>
      <c r="L6" s="62"/>
      <c r="M6"/>
      <c r="N6" s="62"/>
      <c r="O6"/>
      <c r="S6" s="3"/>
      <c r="W6" s="3"/>
    </row>
    <row r="7" spans="1:23" ht="18" customHeight="1" x14ac:dyDescent="0.3">
      <c r="D7" s="1"/>
      <c r="E7" s="188" t="s">
        <v>81</v>
      </c>
      <c r="G7" s="188"/>
      <c r="H7" s="188"/>
      <c r="I7" s="188"/>
      <c r="J7" s="188"/>
      <c r="K7" s="188"/>
      <c r="L7" s="188"/>
      <c r="M7" s="188"/>
      <c r="N7" s="188"/>
      <c r="O7" s="188"/>
      <c r="S7" s="3"/>
      <c r="W7" s="3"/>
    </row>
    <row r="11" spans="1:23" x14ac:dyDescent="0.25">
      <c r="A11" s="88"/>
    </row>
    <row r="12" spans="1:23" x14ac:dyDescent="0.25">
      <c r="A12" s="88"/>
      <c r="E12" s="127"/>
      <c r="F12" s="127"/>
      <c r="G12" s="127"/>
      <c r="H12" s="127"/>
      <c r="I12" s="127"/>
      <c r="J12" s="127"/>
      <c r="K12" s="127"/>
      <c r="L12" s="127"/>
      <c r="M12" s="127"/>
      <c r="N12" s="127"/>
      <c r="O12" s="127"/>
    </row>
    <row r="13" spans="1:23" x14ac:dyDescent="0.25">
      <c r="A13" s="88"/>
      <c r="E13" s="127"/>
      <c r="F13" s="127"/>
      <c r="G13" s="127"/>
      <c r="H13" s="127"/>
      <c r="I13" s="127"/>
      <c r="J13" s="127"/>
      <c r="K13" s="127"/>
      <c r="L13" s="127"/>
      <c r="M13" s="127"/>
      <c r="N13" s="127"/>
      <c r="O13" s="127"/>
    </row>
    <row r="14" spans="1:23" x14ac:dyDescent="0.25">
      <c r="A14" s="88"/>
      <c r="E14" s="127"/>
      <c r="F14" s="127"/>
      <c r="G14" s="127"/>
      <c r="H14" s="127"/>
      <c r="I14" s="127"/>
      <c r="J14" s="127"/>
      <c r="K14" s="127"/>
      <c r="L14" s="127"/>
      <c r="M14" s="127"/>
      <c r="N14" s="127"/>
      <c r="O14" s="127"/>
    </row>
    <row r="15" spans="1:23" x14ac:dyDescent="0.25">
      <c r="A15" s="88"/>
      <c r="E15" s="127"/>
      <c r="F15" s="127"/>
      <c r="G15" s="127"/>
      <c r="H15" s="127"/>
      <c r="I15" s="127"/>
      <c r="J15" s="127"/>
      <c r="K15" s="127"/>
      <c r="L15" s="127"/>
      <c r="M15" s="127"/>
      <c r="N15" s="127"/>
      <c r="O15" s="127"/>
    </row>
    <row r="16" spans="1:23" x14ac:dyDescent="0.25">
      <c r="A16" s="88"/>
      <c r="E16" s="127"/>
      <c r="F16" s="127"/>
      <c r="G16" s="127"/>
      <c r="H16" s="127"/>
      <c r="I16" s="127"/>
      <c r="J16" s="127"/>
      <c r="K16" s="127"/>
      <c r="L16" s="127"/>
      <c r="M16" s="127"/>
      <c r="N16" s="127"/>
      <c r="O16" s="127"/>
    </row>
    <row r="17" spans="1:25" x14ac:dyDescent="0.25">
      <c r="A17" s="88"/>
      <c r="E17" s="127"/>
      <c r="F17" s="127"/>
      <c r="G17" s="127"/>
      <c r="H17" s="127"/>
      <c r="I17" s="127"/>
      <c r="J17" s="127"/>
      <c r="K17" s="127"/>
      <c r="L17" s="127"/>
      <c r="M17" s="127"/>
      <c r="N17" s="127"/>
      <c r="O17" s="127"/>
    </row>
    <row r="18" spans="1:25" x14ac:dyDescent="0.25">
      <c r="A18" s="88"/>
      <c r="E18" s="127"/>
      <c r="F18" s="127"/>
      <c r="G18" s="127"/>
      <c r="H18" s="127"/>
      <c r="I18" s="127"/>
      <c r="J18" s="127"/>
      <c r="K18" s="127"/>
      <c r="L18" s="127"/>
      <c r="M18" s="127"/>
      <c r="N18" s="127"/>
      <c r="O18" s="127"/>
    </row>
    <row r="19" spans="1:25" x14ac:dyDescent="0.25">
      <c r="A19" s="88"/>
      <c r="E19" s="127"/>
      <c r="F19" s="127"/>
      <c r="G19" s="127"/>
      <c r="H19" s="127"/>
      <c r="I19" s="127"/>
      <c r="J19" s="127"/>
      <c r="K19" s="127"/>
      <c r="L19" s="127"/>
      <c r="M19" s="127"/>
      <c r="N19" s="127"/>
      <c r="O19" s="127"/>
    </row>
    <row r="20" spans="1:25" x14ac:dyDescent="0.25">
      <c r="A20" s="88"/>
      <c r="E20" s="127"/>
      <c r="F20" s="127"/>
      <c r="G20" s="127"/>
      <c r="H20" s="127"/>
      <c r="I20" s="127"/>
      <c r="J20" s="127"/>
      <c r="K20" s="127"/>
      <c r="L20" s="127"/>
      <c r="M20" s="127"/>
      <c r="N20" s="127"/>
      <c r="O20" s="127"/>
    </row>
    <row r="21" spans="1:25" x14ac:dyDescent="0.25">
      <c r="A21" s="88"/>
      <c r="E21" s="127"/>
      <c r="F21" s="127"/>
      <c r="G21" s="127"/>
      <c r="H21" s="127"/>
      <c r="I21" s="127"/>
      <c r="J21" s="127"/>
      <c r="K21" s="127"/>
      <c r="L21" s="127"/>
      <c r="M21" s="127"/>
      <c r="N21" s="127"/>
      <c r="O21" s="127"/>
    </row>
    <row r="22" spans="1:25" x14ac:dyDescent="0.25">
      <c r="A22" s="88"/>
      <c r="E22" s="127"/>
      <c r="F22" s="127"/>
      <c r="G22" s="127"/>
      <c r="H22" s="127"/>
      <c r="I22" s="127"/>
      <c r="J22" s="127"/>
      <c r="K22" s="127"/>
      <c r="L22" s="127"/>
      <c r="M22" s="127"/>
      <c r="N22" s="127"/>
      <c r="O22" s="127"/>
    </row>
    <row r="23" spans="1:25" x14ac:dyDescent="0.25">
      <c r="A23" s="88"/>
      <c r="T23" s="88"/>
    </row>
    <row r="24" spans="1:25" ht="13.8" thickBot="1" x14ac:dyDescent="0.3">
      <c r="A24" s="88"/>
      <c r="B24" s="176" t="s">
        <v>162</v>
      </c>
      <c r="C24" s="176"/>
      <c r="D24" s="176"/>
      <c r="E24" s="176"/>
      <c r="F24" s="176"/>
      <c r="T24" s="88"/>
    </row>
    <row r="25" spans="1:25" x14ac:dyDescent="0.25">
      <c r="A25" s="126"/>
      <c r="B25" s="112"/>
      <c r="C25" s="111"/>
      <c r="D25" s="110"/>
      <c r="E25" s="110"/>
      <c r="F25" s="125"/>
    </row>
    <row r="26" spans="1:25" x14ac:dyDescent="0.25">
      <c r="B26" s="99"/>
      <c r="C26" s="90"/>
      <c r="D26" s="100"/>
      <c r="E26" s="100"/>
      <c r="F26" s="95"/>
    </row>
    <row r="27" spans="1:25" x14ac:dyDescent="0.25">
      <c r="B27" s="99"/>
      <c r="C27" s="107" t="s">
        <v>138</v>
      </c>
      <c r="D27" s="101" t="s">
        <v>4</v>
      </c>
      <c r="E27" s="108" t="s">
        <v>149</v>
      </c>
      <c r="F27" s="95"/>
      <c r="G27" s="90"/>
    </row>
    <row r="28" spans="1:25" x14ac:dyDescent="0.25">
      <c r="B28" s="99"/>
      <c r="C28" s="90"/>
      <c r="D28" s="100"/>
      <c r="E28" s="107"/>
      <c r="F28" s="95"/>
      <c r="G28" s="90"/>
    </row>
    <row r="29" spans="1:25" x14ac:dyDescent="0.25">
      <c r="B29" s="99"/>
      <c r="C29" s="107" t="s">
        <v>133</v>
      </c>
      <c r="D29" s="101" t="s">
        <v>4</v>
      </c>
      <c r="E29" s="108" t="s">
        <v>132</v>
      </c>
      <c r="F29" s="95"/>
      <c r="G29" s="90"/>
      <c r="S29" s="88" t="s">
        <v>132</v>
      </c>
      <c r="T29" s="88" t="s">
        <v>160</v>
      </c>
      <c r="U29" s="88" t="s">
        <v>158</v>
      </c>
      <c r="V29" s="88" t="s">
        <v>156</v>
      </c>
      <c r="W29" s="88" t="s">
        <v>154</v>
      </c>
    </row>
    <row r="30" spans="1:25" x14ac:dyDescent="0.25">
      <c r="B30" s="99"/>
      <c r="C30" s="90"/>
      <c r="D30" s="100"/>
      <c r="E30" s="107"/>
      <c r="F30" s="95"/>
      <c r="G30" s="90"/>
      <c r="S30" s="2">
        <v>2</v>
      </c>
      <c r="T30" s="2">
        <v>3</v>
      </c>
      <c r="U30" s="2">
        <v>4</v>
      </c>
      <c r="V30" s="2">
        <v>5</v>
      </c>
      <c r="W30" s="2">
        <v>6</v>
      </c>
    </row>
    <row r="31" spans="1:25" x14ac:dyDescent="0.25">
      <c r="B31" s="99"/>
      <c r="C31" s="107" t="s">
        <v>129</v>
      </c>
      <c r="D31" s="101" t="s">
        <v>64</v>
      </c>
      <c r="E31" s="108">
        <v>50</v>
      </c>
      <c r="F31" s="95"/>
      <c r="G31" s="90"/>
      <c r="H31" s="124"/>
      <c r="S31" s="88" t="s">
        <v>132</v>
      </c>
      <c r="T31" s="88" t="s">
        <v>160</v>
      </c>
      <c r="U31" s="88" t="s">
        <v>158</v>
      </c>
      <c r="V31" s="88" t="s">
        <v>156</v>
      </c>
      <c r="W31" s="88" t="s">
        <v>154</v>
      </c>
      <c r="Y31" s="88" t="s">
        <v>132</v>
      </c>
    </row>
    <row r="32" spans="1:25" x14ac:dyDescent="0.25">
      <c r="B32" s="99"/>
      <c r="C32" s="90"/>
      <c r="D32" s="100"/>
      <c r="E32" s="107"/>
      <c r="F32" s="95"/>
      <c r="G32" s="123"/>
      <c r="R32" s="88" t="s">
        <v>161</v>
      </c>
      <c r="S32" s="122">
        <f>MIN($S$37:$S$91)</f>
        <v>780</v>
      </c>
      <c r="T32" s="122">
        <f t="shared" ref="T32:T63" si="0">U32+(S32-U32)/2</f>
        <v>680</v>
      </c>
      <c r="U32" s="122">
        <f t="shared" ref="U32:U63" si="1">W32+(S32-W32)/2</f>
        <v>580</v>
      </c>
      <c r="V32" s="122">
        <f t="shared" ref="V32:V63" si="2">W32+(U32-W32)/2</f>
        <v>480</v>
      </c>
      <c r="W32" s="122">
        <f>MIN($W$37:$W$91)</f>
        <v>380</v>
      </c>
      <c r="Y32" s="88" t="s">
        <v>160</v>
      </c>
    </row>
    <row r="33" spans="2:25" x14ac:dyDescent="0.25">
      <c r="B33" s="99"/>
      <c r="C33" s="107" t="s">
        <v>110</v>
      </c>
      <c r="D33" s="101" t="s">
        <v>8</v>
      </c>
      <c r="E33" s="108">
        <v>5</v>
      </c>
      <c r="F33" s="95"/>
      <c r="G33" s="90"/>
      <c r="R33" s="88" t="s">
        <v>159</v>
      </c>
      <c r="S33" s="122">
        <f>S32+(S34-S32)/2</f>
        <v>858.68389154704937</v>
      </c>
      <c r="T33" s="122">
        <f t="shared" si="0"/>
        <v>774.42978468899514</v>
      </c>
      <c r="U33" s="122">
        <f t="shared" si="1"/>
        <v>690.17567783094091</v>
      </c>
      <c r="V33" s="122">
        <f t="shared" si="2"/>
        <v>605.92157097288668</v>
      </c>
      <c r="W33" s="122">
        <f>W32+(W34-W32)/2</f>
        <v>521.66746411483257</v>
      </c>
      <c r="Y33" s="88" t="s">
        <v>158</v>
      </c>
    </row>
    <row r="34" spans="2:25" x14ac:dyDescent="0.25">
      <c r="B34" s="99"/>
      <c r="C34" s="90"/>
      <c r="D34" s="100"/>
      <c r="E34" s="107"/>
      <c r="F34" s="95"/>
      <c r="G34" s="90"/>
      <c r="R34" s="88" t="s">
        <v>157</v>
      </c>
      <c r="S34" s="122">
        <f>AVERAGE($S$37:$S$91)</f>
        <v>937.36778309409885</v>
      </c>
      <c r="T34" s="122">
        <f t="shared" si="0"/>
        <v>868.85956937799051</v>
      </c>
      <c r="U34" s="122">
        <f t="shared" si="1"/>
        <v>800.35135566188205</v>
      </c>
      <c r="V34" s="122">
        <f t="shared" si="2"/>
        <v>731.8431419457736</v>
      </c>
      <c r="W34" s="122">
        <f>AVERAGE($W$37:$W$91)</f>
        <v>663.33492822966514</v>
      </c>
      <c r="Y34" s="88" t="s">
        <v>156</v>
      </c>
    </row>
    <row r="35" spans="2:25" x14ac:dyDescent="0.25">
      <c r="B35" s="99"/>
      <c r="C35" s="107" t="s">
        <v>126</v>
      </c>
      <c r="D35" s="101" t="s">
        <v>125</v>
      </c>
      <c r="E35" s="108">
        <v>0</v>
      </c>
      <c r="F35" s="95"/>
      <c r="G35" s="90"/>
      <c r="R35" s="88" t="s">
        <v>155</v>
      </c>
      <c r="S35" s="122">
        <f>S34+(S36-S34)/2</f>
        <v>1028.6838915470494</v>
      </c>
      <c r="T35" s="122">
        <f t="shared" si="0"/>
        <v>973.17978468899514</v>
      </c>
      <c r="U35" s="122">
        <f t="shared" si="1"/>
        <v>917.67567783094091</v>
      </c>
      <c r="V35" s="122">
        <f t="shared" si="2"/>
        <v>862.17157097288668</v>
      </c>
      <c r="W35" s="122">
        <f>W34+(W36-W34)/2</f>
        <v>806.66746411483257</v>
      </c>
      <c r="Y35" s="88" t="s">
        <v>154</v>
      </c>
    </row>
    <row r="36" spans="2:25" x14ac:dyDescent="0.25">
      <c r="B36" s="99"/>
      <c r="C36" s="107"/>
      <c r="D36" s="101"/>
      <c r="E36" s="107"/>
      <c r="F36" s="95"/>
      <c r="G36" s="90"/>
      <c r="R36" s="88" t="s">
        <v>153</v>
      </c>
      <c r="S36" s="122">
        <f>MAX($S$37:$S$91)</f>
        <v>1120</v>
      </c>
      <c r="T36" s="122">
        <f t="shared" si="0"/>
        <v>1077.5</v>
      </c>
      <c r="U36" s="122">
        <f t="shared" si="1"/>
        <v>1035</v>
      </c>
      <c r="V36" s="122">
        <f t="shared" si="2"/>
        <v>992.5</v>
      </c>
      <c r="W36" s="122">
        <f>MAX($W$37:$W$91)</f>
        <v>950</v>
      </c>
    </row>
    <row r="37" spans="2:25" x14ac:dyDescent="0.25">
      <c r="B37" s="99"/>
      <c r="C37" s="107" t="s">
        <v>122</v>
      </c>
      <c r="D37" s="101" t="s">
        <v>4</v>
      </c>
      <c r="E37" s="108">
        <v>1</v>
      </c>
      <c r="F37" s="95"/>
      <c r="G37" s="90"/>
      <c r="R37" s="88" t="s">
        <v>152</v>
      </c>
      <c r="S37" s="122">
        <f>AVERAGE(S39:S53)</f>
        <v>887.33333333333337</v>
      </c>
      <c r="T37" s="122">
        <f t="shared" si="0"/>
        <v>813</v>
      </c>
      <c r="U37" s="122">
        <f t="shared" si="1"/>
        <v>738.66666666666674</v>
      </c>
      <c r="V37" s="122">
        <f t="shared" si="2"/>
        <v>664.33333333333337</v>
      </c>
      <c r="W37" s="122">
        <f>AVERAGE(W39:W53)</f>
        <v>590</v>
      </c>
    </row>
    <row r="38" spans="2:25" x14ac:dyDescent="0.25">
      <c r="B38" s="99"/>
      <c r="C38" s="90"/>
      <c r="D38" s="100"/>
      <c r="E38" s="107"/>
      <c r="F38" s="95"/>
      <c r="G38" s="90"/>
      <c r="R38" s="88" t="s">
        <v>151</v>
      </c>
      <c r="S38" s="122">
        <f>AVERAGE(S54:S91)</f>
        <v>957.89473684210532</v>
      </c>
      <c r="T38" s="122">
        <f t="shared" si="0"/>
        <v>891.77631578947376</v>
      </c>
      <c r="U38" s="122">
        <f t="shared" si="1"/>
        <v>825.65789473684208</v>
      </c>
      <c r="V38" s="122">
        <f t="shared" si="2"/>
        <v>759.53947368421052</v>
      </c>
      <c r="W38" s="122">
        <f>AVERAGE(W54:W91)</f>
        <v>693.42105263157896</v>
      </c>
    </row>
    <row r="39" spans="2:25" x14ac:dyDescent="0.25">
      <c r="B39" s="99"/>
      <c r="C39" s="107" t="s">
        <v>119</v>
      </c>
      <c r="D39" s="101" t="s">
        <v>5</v>
      </c>
      <c r="E39" s="106">
        <f>VLOOKUP(E27,R32:W91,HLOOKUP(E29,S29:W30,2,TRUE),FALSE)</f>
        <v>820</v>
      </c>
      <c r="F39" s="95"/>
      <c r="G39" s="90"/>
      <c r="L39" s="88"/>
      <c r="M39" s="88"/>
      <c r="N39" s="88"/>
      <c r="O39" s="88"/>
      <c r="P39" s="88"/>
      <c r="Q39" s="88"/>
      <c r="R39" s="3" t="s">
        <v>150</v>
      </c>
      <c r="S39" s="89">
        <v>920</v>
      </c>
      <c r="T39" s="5">
        <f t="shared" si="0"/>
        <v>800</v>
      </c>
      <c r="U39" s="5">
        <f t="shared" si="1"/>
        <v>680</v>
      </c>
      <c r="V39" s="5">
        <f t="shared" si="2"/>
        <v>560</v>
      </c>
      <c r="W39" s="89">
        <v>440</v>
      </c>
    </row>
    <row r="40" spans="2:25" ht="13.8" thickBot="1" x14ac:dyDescent="0.3">
      <c r="B40" s="99"/>
      <c r="C40" s="90"/>
      <c r="D40" s="100"/>
      <c r="E40" s="100"/>
      <c r="F40" s="95"/>
      <c r="G40" s="90"/>
      <c r="L40" s="88"/>
      <c r="M40" s="88"/>
      <c r="N40" s="88"/>
      <c r="O40" s="88"/>
      <c r="P40" s="88"/>
      <c r="Q40" s="88"/>
      <c r="R40" s="3" t="s">
        <v>149</v>
      </c>
      <c r="S40" s="89">
        <v>820</v>
      </c>
      <c r="T40" s="5">
        <f t="shared" si="0"/>
        <v>752.5</v>
      </c>
      <c r="U40" s="5">
        <f t="shared" si="1"/>
        <v>685</v>
      </c>
      <c r="V40" s="5">
        <f t="shared" si="2"/>
        <v>617.5</v>
      </c>
      <c r="W40" s="89">
        <v>550</v>
      </c>
    </row>
    <row r="41" spans="2:25" x14ac:dyDescent="0.25">
      <c r="B41" s="99"/>
      <c r="C41" s="121"/>
      <c r="D41" s="120" t="s">
        <v>9</v>
      </c>
      <c r="E41" s="119">
        <f>E42/10</f>
        <v>0.80503311748238437</v>
      </c>
      <c r="F41" s="95"/>
      <c r="G41" s="90"/>
      <c r="L41" s="88"/>
      <c r="M41" s="88"/>
      <c r="N41" s="88"/>
      <c r="O41" s="88"/>
      <c r="P41" s="88"/>
      <c r="Q41" s="88"/>
      <c r="R41" s="3" t="s">
        <v>148</v>
      </c>
      <c r="S41" s="89">
        <v>860</v>
      </c>
      <c r="T41" s="5">
        <f t="shared" si="0"/>
        <v>800</v>
      </c>
      <c r="U41" s="5">
        <f t="shared" si="1"/>
        <v>740</v>
      </c>
      <c r="V41" s="5">
        <f t="shared" si="2"/>
        <v>680</v>
      </c>
      <c r="W41" s="89">
        <v>620</v>
      </c>
    </row>
    <row r="42" spans="2:25" x14ac:dyDescent="0.25">
      <c r="B42" s="99"/>
      <c r="C42" s="118" t="s">
        <v>115</v>
      </c>
      <c r="D42" s="117" t="s">
        <v>113</v>
      </c>
      <c r="E42" s="116">
        <f>PI()/4*($E31/100)^2*$E$33*E$39*$E$37/100-$E$35/100*(PI()/4*($E31/100)^2*$E$33*E$39*$E$37/100)</f>
        <v>8.0503311748238442</v>
      </c>
      <c r="F42" s="95"/>
      <c r="G42" s="90"/>
      <c r="L42" s="88"/>
      <c r="M42" s="88"/>
      <c r="N42" s="88"/>
      <c r="O42" s="88"/>
      <c r="P42" s="88"/>
      <c r="Q42" s="88"/>
      <c r="R42" s="3" t="s">
        <v>147</v>
      </c>
      <c r="S42" s="89">
        <v>900</v>
      </c>
      <c r="T42" s="5">
        <f t="shared" si="0"/>
        <v>840</v>
      </c>
      <c r="U42" s="5">
        <f t="shared" si="1"/>
        <v>780</v>
      </c>
      <c r="V42" s="5">
        <f t="shared" si="2"/>
        <v>720</v>
      </c>
      <c r="W42" s="89">
        <v>660</v>
      </c>
    </row>
    <row r="43" spans="2:25" ht="13.8" thickBot="1" x14ac:dyDescent="0.3">
      <c r="B43" s="99"/>
      <c r="C43" s="115"/>
      <c r="D43" s="114" t="s">
        <v>39</v>
      </c>
      <c r="E43" s="113">
        <f>E42*100</f>
        <v>805.03311748238445</v>
      </c>
      <c r="F43" s="95"/>
      <c r="G43" s="90"/>
      <c r="L43" s="88"/>
      <c r="M43" s="88"/>
      <c r="N43" s="88"/>
      <c r="O43" s="88"/>
      <c r="P43" s="88"/>
      <c r="Q43" s="88"/>
      <c r="R43" s="3" t="s">
        <v>137</v>
      </c>
      <c r="S43" s="89">
        <v>860</v>
      </c>
      <c r="T43" s="5">
        <f t="shared" si="0"/>
        <v>750</v>
      </c>
      <c r="U43" s="5">
        <f t="shared" si="1"/>
        <v>640</v>
      </c>
      <c r="V43" s="5">
        <f t="shared" si="2"/>
        <v>530</v>
      </c>
      <c r="W43" s="89">
        <v>420</v>
      </c>
    </row>
    <row r="44" spans="2:25" ht="13.8" thickBot="1" x14ac:dyDescent="0.3">
      <c r="B44" s="94"/>
      <c r="C44" s="93"/>
      <c r="D44" s="92"/>
      <c r="E44" s="92"/>
      <c r="F44" s="91"/>
      <c r="G44" s="90"/>
      <c r="L44" s="88"/>
      <c r="M44" s="88"/>
      <c r="N44" s="88"/>
      <c r="O44" s="88"/>
      <c r="P44" s="88"/>
      <c r="Q44" s="88"/>
      <c r="R44" s="3" t="s">
        <v>146</v>
      </c>
      <c r="S44" s="89">
        <v>870</v>
      </c>
      <c r="T44" s="5">
        <f t="shared" si="0"/>
        <v>797.5</v>
      </c>
      <c r="U44" s="5">
        <f t="shared" si="1"/>
        <v>725</v>
      </c>
      <c r="V44" s="5">
        <f t="shared" si="2"/>
        <v>652.5</v>
      </c>
      <c r="W44" s="89">
        <v>580</v>
      </c>
    </row>
    <row r="45" spans="2:25" x14ac:dyDescent="0.25">
      <c r="G45" s="90"/>
      <c r="L45" s="88"/>
      <c r="M45" s="88"/>
      <c r="N45" s="88"/>
      <c r="O45" s="88"/>
      <c r="P45" s="88"/>
      <c r="Q45" s="88"/>
      <c r="R45" s="3" t="s">
        <v>145</v>
      </c>
      <c r="S45" s="89">
        <v>1000</v>
      </c>
      <c r="T45" s="5">
        <f t="shared" si="0"/>
        <v>912.5</v>
      </c>
      <c r="U45" s="5">
        <f t="shared" si="1"/>
        <v>825</v>
      </c>
      <c r="V45" s="5">
        <f t="shared" si="2"/>
        <v>737.5</v>
      </c>
      <c r="W45" s="89">
        <v>650</v>
      </c>
    </row>
    <row r="46" spans="2:25" x14ac:dyDescent="0.25">
      <c r="G46" s="90"/>
      <c r="L46" s="88"/>
      <c r="M46" s="88"/>
      <c r="N46" s="88"/>
      <c r="O46" s="88"/>
      <c r="P46" s="88"/>
      <c r="Q46" s="88"/>
      <c r="R46" s="3" t="s">
        <v>144</v>
      </c>
      <c r="S46" s="89">
        <v>800</v>
      </c>
      <c r="T46" s="5">
        <f t="shared" si="0"/>
        <v>750</v>
      </c>
      <c r="U46" s="5">
        <f t="shared" si="1"/>
        <v>700</v>
      </c>
      <c r="V46" s="5">
        <f t="shared" si="2"/>
        <v>650</v>
      </c>
      <c r="W46" s="89">
        <v>600</v>
      </c>
    </row>
    <row r="47" spans="2:25" ht="13.8" thickBot="1" x14ac:dyDescent="0.3">
      <c r="B47" s="176" t="s">
        <v>143</v>
      </c>
      <c r="C47" s="176"/>
      <c r="D47" s="176"/>
      <c r="E47" s="176"/>
      <c r="F47" s="176"/>
      <c r="L47" s="88"/>
      <c r="M47" s="88"/>
      <c r="N47" s="88"/>
      <c r="O47" s="88"/>
      <c r="P47" s="88"/>
      <c r="Q47" s="88"/>
      <c r="R47" s="88" t="s">
        <v>142</v>
      </c>
      <c r="S47" s="89">
        <v>900</v>
      </c>
      <c r="T47" s="5">
        <f t="shared" si="0"/>
        <v>815</v>
      </c>
      <c r="U47" s="5">
        <f t="shared" si="1"/>
        <v>730</v>
      </c>
      <c r="V47" s="5">
        <f t="shared" si="2"/>
        <v>645</v>
      </c>
      <c r="W47" s="89">
        <v>560</v>
      </c>
    </row>
    <row r="48" spans="2:25" x14ac:dyDescent="0.25">
      <c r="B48" s="112"/>
      <c r="C48" s="111"/>
      <c r="D48" s="110"/>
      <c r="E48" s="110"/>
      <c r="F48" s="109"/>
      <c r="L48" s="88"/>
      <c r="M48" s="88"/>
      <c r="N48" s="88"/>
      <c r="O48" s="88"/>
      <c r="P48" s="88"/>
      <c r="Q48" s="88"/>
      <c r="R48" s="3" t="s">
        <v>141</v>
      </c>
      <c r="S48" s="89">
        <v>950</v>
      </c>
      <c r="T48" s="5">
        <f t="shared" si="0"/>
        <v>875</v>
      </c>
      <c r="U48" s="5">
        <f t="shared" si="1"/>
        <v>800</v>
      </c>
      <c r="V48" s="5">
        <f t="shared" si="2"/>
        <v>725</v>
      </c>
      <c r="W48" s="89">
        <v>650</v>
      </c>
    </row>
    <row r="49" spans="2:28" x14ac:dyDescent="0.25">
      <c r="B49" s="99"/>
      <c r="C49" s="90"/>
      <c r="D49" s="100"/>
      <c r="E49" s="100"/>
      <c r="F49" s="95"/>
      <c r="G49" s="90"/>
      <c r="J49" s="88" t="s">
        <v>140</v>
      </c>
      <c r="L49" s="88"/>
      <c r="M49" s="88"/>
      <c r="N49" s="88"/>
      <c r="O49" s="88"/>
      <c r="P49" s="88"/>
      <c r="Q49" s="88"/>
      <c r="R49" s="3" t="s">
        <v>139</v>
      </c>
      <c r="S49" s="89">
        <v>850</v>
      </c>
      <c r="T49" s="5">
        <f t="shared" si="0"/>
        <v>792.5</v>
      </c>
      <c r="U49" s="5">
        <f t="shared" si="1"/>
        <v>735</v>
      </c>
      <c r="V49" s="5">
        <f t="shared" si="2"/>
        <v>677.5</v>
      </c>
      <c r="W49" s="89">
        <v>620</v>
      </c>
    </row>
    <row r="50" spans="2:28" x14ac:dyDescent="0.25">
      <c r="B50" s="99"/>
      <c r="C50" s="107" t="s">
        <v>138</v>
      </c>
      <c r="D50" s="101" t="s">
        <v>4</v>
      </c>
      <c r="E50" s="108" t="s">
        <v>149</v>
      </c>
      <c r="F50" s="95"/>
      <c r="G50" s="90"/>
      <c r="H50" s="88" t="s">
        <v>136</v>
      </c>
      <c r="L50" s="88"/>
      <c r="M50" s="88"/>
      <c r="N50" s="88"/>
      <c r="O50" s="88"/>
      <c r="P50" s="88"/>
      <c r="Q50" s="88"/>
      <c r="R50" s="88" t="s">
        <v>135</v>
      </c>
      <c r="S50" s="89">
        <v>880</v>
      </c>
      <c r="T50" s="5">
        <f t="shared" si="0"/>
        <v>797.5</v>
      </c>
      <c r="U50" s="5">
        <f t="shared" si="1"/>
        <v>715</v>
      </c>
      <c r="V50" s="5">
        <f t="shared" si="2"/>
        <v>632.5</v>
      </c>
      <c r="W50" s="89">
        <v>550</v>
      </c>
    </row>
    <row r="51" spans="2:28" x14ac:dyDescent="0.25">
      <c r="B51" s="99"/>
      <c r="C51" s="90"/>
      <c r="D51" s="100"/>
      <c r="E51" s="107"/>
      <c r="F51" s="95"/>
      <c r="G51" s="90"/>
      <c r="L51" s="88"/>
      <c r="M51" s="88"/>
      <c r="N51" s="88"/>
      <c r="O51" s="88"/>
      <c r="P51" s="88"/>
      <c r="Q51" s="88"/>
      <c r="R51" s="3" t="s">
        <v>134</v>
      </c>
      <c r="S51" s="89">
        <v>880</v>
      </c>
      <c r="T51" s="5">
        <f t="shared" si="0"/>
        <v>825</v>
      </c>
      <c r="U51" s="5">
        <f t="shared" si="1"/>
        <v>770</v>
      </c>
      <c r="V51" s="5">
        <f t="shared" si="2"/>
        <v>715</v>
      </c>
      <c r="W51" s="89">
        <v>660</v>
      </c>
    </row>
    <row r="52" spans="2:28" x14ac:dyDescent="0.25">
      <c r="B52" s="99"/>
      <c r="C52" s="107" t="s">
        <v>133</v>
      </c>
      <c r="D52" s="101" t="s">
        <v>4</v>
      </c>
      <c r="E52" s="108" t="s">
        <v>132</v>
      </c>
      <c r="F52" s="95"/>
      <c r="G52" s="90"/>
      <c r="L52" s="88"/>
      <c r="M52" s="88"/>
      <c r="N52" s="88"/>
      <c r="O52" s="88"/>
      <c r="P52" s="88"/>
      <c r="Q52" s="88"/>
      <c r="R52" s="3" t="s">
        <v>131</v>
      </c>
      <c r="S52" s="89">
        <v>800</v>
      </c>
      <c r="T52" s="5">
        <f t="shared" si="0"/>
        <v>732.5</v>
      </c>
      <c r="U52" s="5">
        <f t="shared" si="1"/>
        <v>665</v>
      </c>
      <c r="V52" s="5">
        <f t="shared" si="2"/>
        <v>597.5</v>
      </c>
      <c r="W52" s="89">
        <v>530</v>
      </c>
    </row>
    <row r="53" spans="2:28" x14ac:dyDescent="0.25">
      <c r="B53" s="99"/>
      <c r="C53" s="90"/>
      <c r="D53" s="100"/>
      <c r="E53" s="107"/>
      <c r="F53" s="95"/>
      <c r="G53" s="90"/>
      <c r="L53" s="88"/>
      <c r="M53" s="88"/>
      <c r="N53" s="88"/>
      <c r="O53" s="88"/>
      <c r="P53" s="88"/>
      <c r="Q53" s="88"/>
      <c r="R53" s="3" t="s">
        <v>130</v>
      </c>
      <c r="S53" s="89">
        <v>1020</v>
      </c>
      <c r="T53" s="5">
        <f t="shared" si="0"/>
        <v>955</v>
      </c>
      <c r="U53" s="5">
        <f t="shared" si="1"/>
        <v>890</v>
      </c>
      <c r="V53" s="5">
        <f t="shared" si="2"/>
        <v>825</v>
      </c>
      <c r="W53" s="89">
        <v>760</v>
      </c>
    </row>
    <row r="54" spans="2:28" x14ac:dyDescent="0.25">
      <c r="B54" s="99"/>
      <c r="C54" s="107" t="s">
        <v>129</v>
      </c>
      <c r="D54" s="101" t="s">
        <v>64</v>
      </c>
      <c r="E54" s="108">
        <v>50</v>
      </c>
      <c r="F54" s="95"/>
      <c r="G54" s="90"/>
      <c r="L54" s="88"/>
      <c r="M54" s="88"/>
      <c r="N54" s="88"/>
      <c r="O54" s="88"/>
      <c r="P54" s="88"/>
      <c r="Q54" s="88"/>
      <c r="R54" s="3" t="s">
        <v>128</v>
      </c>
      <c r="S54" s="89">
        <v>900</v>
      </c>
      <c r="T54" s="5">
        <f t="shared" si="0"/>
        <v>860</v>
      </c>
      <c r="U54" s="5">
        <f t="shared" si="1"/>
        <v>820</v>
      </c>
      <c r="V54" s="5">
        <f t="shared" si="2"/>
        <v>780</v>
      </c>
      <c r="W54" s="89">
        <v>740</v>
      </c>
    </row>
    <row r="55" spans="2:28" x14ac:dyDescent="0.25">
      <c r="B55" s="99"/>
      <c r="C55" s="90"/>
      <c r="D55" s="100"/>
      <c r="E55" s="107"/>
      <c r="F55" s="95"/>
      <c r="G55" s="90"/>
      <c r="L55" s="88"/>
      <c r="M55" s="88"/>
      <c r="N55" s="88"/>
      <c r="O55" s="88"/>
      <c r="P55" s="88"/>
      <c r="Q55" s="88"/>
      <c r="R55" s="3" t="s">
        <v>127</v>
      </c>
      <c r="S55" s="89">
        <v>900</v>
      </c>
      <c r="T55" s="5">
        <f t="shared" si="0"/>
        <v>850</v>
      </c>
      <c r="U55" s="5">
        <f t="shared" si="1"/>
        <v>800</v>
      </c>
      <c r="V55" s="5">
        <f t="shared" si="2"/>
        <v>750</v>
      </c>
      <c r="W55" s="89">
        <v>700</v>
      </c>
      <c r="Z55" s="3">
        <v>0</v>
      </c>
      <c r="AA55" s="3">
        <v>100</v>
      </c>
      <c r="AB55" s="3">
        <f t="shared" ref="AB55:AB65" si="3">380.89*Z55^2-390.99*Z55+99.783</f>
        <v>99.783000000000001</v>
      </c>
    </row>
    <row r="56" spans="2:28" x14ac:dyDescent="0.25">
      <c r="B56" s="99"/>
      <c r="C56" s="107" t="s">
        <v>126</v>
      </c>
      <c r="D56" s="101" t="s">
        <v>125</v>
      </c>
      <c r="E56" s="108">
        <v>0</v>
      </c>
      <c r="F56" s="95"/>
      <c r="G56" s="90"/>
      <c r="L56" s="88"/>
      <c r="M56" s="88"/>
      <c r="N56" s="88"/>
      <c r="O56" s="88"/>
      <c r="P56" s="88"/>
      <c r="Q56" s="88"/>
      <c r="R56" s="3" t="s">
        <v>124</v>
      </c>
      <c r="S56" s="89">
        <v>830</v>
      </c>
      <c r="T56" s="5">
        <f t="shared" si="0"/>
        <v>790</v>
      </c>
      <c r="U56" s="5">
        <f t="shared" si="1"/>
        <v>750</v>
      </c>
      <c r="V56" s="5">
        <f t="shared" si="2"/>
        <v>710</v>
      </c>
      <c r="W56" s="89">
        <v>670</v>
      </c>
      <c r="Z56" s="3">
        <v>0.05</v>
      </c>
      <c r="AA56" s="3">
        <v>80</v>
      </c>
      <c r="AB56" s="3">
        <f t="shared" si="3"/>
        <v>81.185724999999991</v>
      </c>
    </row>
    <row r="57" spans="2:28" x14ac:dyDescent="0.25">
      <c r="B57" s="99"/>
      <c r="C57" s="107"/>
      <c r="D57" s="101"/>
      <c r="E57" s="107"/>
      <c r="F57" s="95"/>
      <c r="G57" s="90"/>
      <c r="L57" s="88"/>
      <c r="M57" s="88"/>
      <c r="N57" s="88"/>
      <c r="O57" s="88"/>
      <c r="P57" s="88"/>
      <c r="Q57" s="88"/>
      <c r="R57" s="3" t="s">
        <v>123</v>
      </c>
      <c r="S57" s="89">
        <v>900</v>
      </c>
      <c r="T57" s="5">
        <f t="shared" si="0"/>
        <v>822.5</v>
      </c>
      <c r="U57" s="5">
        <f t="shared" si="1"/>
        <v>745</v>
      </c>
      <c r="V57" s="5">
        <f t="shared" si="2"/>
        <v>667.5</v>
      </c>
      <c r="W57" s="89">
        <v>590</v>
      </c>
      <c r="Z57" s="3">
        <v>0.1</v>
      </c>
      <c r="AA57" s="3">
        <v>65</v>
      </c>
      <c r="AB57" s="3">
        <f t="shared" si="3"/>
        <v>64.492899999999992</v>
      </c>
    </row>
    <row r="58" spans="2:28" x14ac:dyDescent="0.25">
      <c r="B58" s="99"/>
      <c r="C58" s="107" t="s">
        <v>122</v>
      </c>
      <c r="D58" s="101" t="s">
        <v>4</v>
      </c>
      <c r="E58" s="108">
        <v>1</v>
      </c>
      <c r="F58" s="95"/>
      <c r="G58" s="90"/>
      <c r="L58" s="88"/>
      <c r="M58" s="88"/>
      <c r="N58" s="88"/>
      <c r="O58" s="88"/>
      <c r="P58" s="88"/>
      <c r="Q58" s="88"/>
      <c r="R58" s="3" t="s">
        <v>121</v>
      </c>
      <c r="S58" s="89">
        <v>900</v>
      </c>
      <c r="T58" s="5">
        <f t="shared" si="0"/>
        <v>840</v>
      </c>
      <c r="U58" s="5">
        <f t="shared" si="1"/>
        <v>780</v>
      </c>
      <c r="V58" s="5">
        <f t="shared" si="2"/>
        <v>720</v>
      </c>
      <c r="W58" s="89">
        <v>660</v>
      </c>
      <c r="Z58" s="3">
        <v>0.15</v>
      </c>
      <c r="AA58" s="3">
        <v>50</v>
      </c>
      <c r="AB58" s="3">
        <f t="shared" si="3"/>
        <v>49.704525000000004</v>
      </c>
    </row>
    <row r="59" spans="2:28" x14ac:dyDescent="0.25">
      <c r="B59" s="99"/>
      <c r="C59" s="90"/>
      <c r="D59" s="100"/>
      <c r="E59" s="107"/>
      <c r="F59" s="95"/>
      <c r="G59" s="90"/>
      <c r="L59" s="88"/>
      <c r="M59" s="88"/>
      <c r="N59" s="88"/>
      <c r="O59" s="88"/>
      <c r="P59" s="88"/>
      <c r="Q59" s="88"/>
      <c r="R59" s="3" t="s">
        <v>120</v>
      </c>
      <c r="S59" s="89">
        <v>860</v>
      </c>
      <c r="T59" s="5">
        <f t="shared" si="0"/>
        <v>785</v>
      </c>
      <c r="U59" s="5">
        <f t="shared" si="1"/>
        <v>710</v>
      </c>
      <c r="V59" s="5">
        <f t="shared" si="2"/>
        <v>635</v>
      </c>
      <c r="W59" s="89">
        <v>560</v>
      </c>
      <c r="Z59" s="3">
        <v>0.2</v>
      </c>
      <c r="AA59" s="3">
        <v>38</v>
      </c>
      <c r="AB59" s="3">
        <f t="shared" si="3"/>
        <v>36.820599999999999</v>
      </c>
    </row>
    <row r="60" spans="2:28" x14ac:dyDescent="0.25">
      <c r="B60" s="99"/>
      <c r="C60" s="107" t="s">
        <v>119</v>
      </c>
      <c r="D60" s="101" t="s">
        <v>5</v>
      </c>
      <c r="E60" s="106">
        <f>VLOOKUP(E50,R32:W91,HLOOKUP(E52,S29:W30,2,TRUE),FALSE)</f>
        <v>820</v>
      </c>
      <c r="F60" s="95"/>
      <c r="G60" s="90"/>
      <c r="L60" s="88"/>
      <c r="M60" s="88"/>
      <c r="N60" s="88"/>
      <c r="O60" s="88"/>
      <c r="P60" s="88"/>
      <c r="Q60" s="88"/>
      <c r="R60" s="3" t="s">
        <v>118</v>
      </c>
      <c r="S60" s="89">
        <v>840</v>
      </c>
      <c r="T60" s="5">
        <f t="shared" si="0"/>
        <v>760</v>
      </c>
      <c r="U60" s="5">
        <f t="shared" si="1"/>
        <v>680</v>
      </c>
      <c r="V60" s="5">
        <f t="shared" si="2"/>
        <v>600</v>
      </c>
      <c r="W60" s="89">
        <v>520</v>
      </c>
      <c r="Z60" s="3">
        <v>0.25</v>
      </c>
      <c r="AA60" s="3">
        <v>26</v>
      </c>
      <c r="AB60" s="3">
        <f t="shared" si="3"/>
        <v>25.841124999999991</v>
      </c>
    </row>
    <row r="61" spans="2:28" x14ac:dyDescent="0.25">
      <c r="B61" s="99"/>
      <c r="C61" s="90"/>
      <c r="D61" s="100"/>
      <c r="E61" s="100"/>
      <c r="F61" s="95"/>
      <c r="G61" s="90"/>
      <c r="L61" s="88"/>
      <c r="M61" s="88"/>
      <c r="N61" s="88"/>
      <c r="O61" s="88"/>
      <c r="P61" s="88"/>
      <c r="Q61" s="88"/>
      <c r="R61" s="3" t="s">
        <v>117</v>
      </c>
      <c r="S61" s="89">
        <v>950</v>
      </c>
      <c r="T61" s="5">
        <f t="shared" si="0"/>
        <v>875</v>
      </c>
      <c r="U61" s="5">
        <f t="shared" si="1"/>
        <v>800</v>
      </c>
      <c r="V61" s="5">
        <f t="shared" si="2"/>
        <v>725</v>
      </c>
      <c r="W61" s="89">
        <v>650</v>
      </c>
      <c r="Z61" s="3">
        <v>0.3</v>
      </c>
      <c r="AA61" s="3">
        <v>16</v>
      </c>
      <c r="AB61" s="3">
        <f t="shared" si="3"/>
        <v>16.766100000000009</v>
      </c>
    </row>
    <row r="62" spans="2:28" x14ac:dyDescent="0.25">
      <c r="B62" s="99"/>
      <c r="C62" s="102"/>
      <c r="D62" s="102" t="s">
        <v>9</v>
      </c>
      <c r="E62" s="105">
        <f>E63/1000</f>
        <v>0.5</v>
      </c>
      <c r="F62" s="95"/>
      <c r="G62" s="90"/>
      <c r="L62" s="88"/>
      <c r="M62" s="88"/>
      <c r="N62" s="88"/>
      <c r="O62" s="88"/>
      <c r="P62" s="88"/>
      <c r="Q62" s="88"/>
      <c r="R62" s="3" t="s">
        <v>116</v>
      </c>
      <c r="S62" s="89">
        <v>1000</v>
      </c>
      <c r="T62" s="5">
        <f t="shared" si="0"/>
        <v>940</v>
      </c>
      <c r="U62" s="5">
        <f t="shared" si="1"/>
        <v>880</v>
      </c>
      <c r="V62" s="5">
        <f t="shared" si="2"/>
        <v>820</v>
      </c>
      <c r="W62" s="89">
        <v>760</v>
      </c>
      <c r="Z62" s="3">
        <v>0.35</v>
      </c>
      <c r="AA62" s="3">
        <v>9</v>
      </c>
      <c r="AB62" s="3">
        <f t="shared" si="3"/>
        <v>9.595524999999995</v>
      </c>
    </row>
    <row r="63" spans="2:28" x14ac:dyDescent="0.25">
      <c r="B63" s="99"/>
      <c r="C63" s="104" t="s">
        <v>115</v>
      </c>
      <c r="D63" s="102" t="s">
        <v>39</v>
      </c>
      <c r="E63" s="103">
        <v>500</v>
      </c>
      <c r="F63" s="95"/>
      <c r="G63" s="90"/>
      <c r="L63" s="88"/>
      <c r="M63" s="88"/>
      <c r="N63" s="88"/>
      <c r="O63" s="88"/>
      <c r="P63" s="88"/>
      <c r="Q63" s="88"/>
      <c r="R63" s="3" t="s">
        <v>114</v>
      </c>
      <c r="S63" s="89">
        <v>1000</v>
      </c>
      <c r="T63" s="5">
        <f t="shared" si="0"/>
        <v>895</v>
      </c>
      <c r="U63" s="5">
        <f t="shared" si="1"/>
        <v>790</v>
      </c>
      <c r="V63" s="5">
        <f t="shared" si="2"/>
        <v>685</v>
      </c>
      <c r="W63" s="89">
        <v>580</v>
      </c>
      <c r="Z63" s="3">
        <v>0.4</v>
      </c>
      <c r="AA63" s="3">
        <v>4</v>
      </c>
      <c r="AB63" s="3">
        <f t="shared" si="3"/>
        <v>4.3293999999999926</v>
      </c>
    </row>
    <row r="64" spans="2:28" x14ac:dyDescent="0.25">
      <c r="B64" s="99"/>
      <c r="C64" s="102"/>
      <c r="D64" s="101" t="s">
        <v>113</v>
      </c>
      <c r="E64" s="101">
        <f>E63/100</f>
        <v>5</v>
      </c>
      <c r="F64" s="95"/>
      <c r="G64" s="90"/>
      <c r="L64" s="88"/>
      <c r="M64" s="88"/>
      <c r="N64" s="88"/>
      <c r="O64" s="88"/>
      <c r="P64" s="88"/>
      <c r="Q64" s="88"/>
      <c r="R64" s="3" t="s">
        <v>112</v>
      </c>
      <c r="S64" s="89">
        <v>960</v>
      </c>
      <c r="T64" s="5">
        <f t="shared" ref="T64:T91" si="4">U64+(S64-U64)/2</f>
        <v>900</v>
      </c>
      <c r="U64" s="5">
        <f t="shared" ref="U64:U91" si="5">W64+(S64-W64)/2</f>
        <v>840</v>
      </c>
      <c r="V64" s="5">
        <f t="shared" ref="V64:V91" si="6">W64+(U64-W64)/2</f>
        <v>780</v>
      </c>
      <c r="W64" s="89">
        <v>720</v>
      </c>
      <c r="Z64" s="3">
        <v>0.45</v>
      </c>
      <c r="AA64" s="3">
        <v>1</v>
      </c>
      <c r="AB64" s="3">
        <f t="shared" si="3"/>
        <v>0.96772499999998729</v>
      </c>
    </row>
    <row r="65" spans="2:28" ht="13.8" thickBot="1" x14ac:dyDescent="0.3">
      <c r="B65" s="99"/>
      <c r="C65" s="90"/>
      <c r="D65" s="100"/>
      <c r="E65" s="100"/>
      <c r="F65" s="95"/>
      <c r="G65" s="90"/>
      <c r="L65" s="88"/>
      <c r="M65" s="88"/>
      <c r="N65" s="88"/>
      <c r="O65" s="88"/>
      <c r="P65" s="88"/>
      <c r="Q65" s="88"/>
      <c r="R65" s="3" t="s">
        <v>111</v>
      </c>
      <c r="S65" s="89">
        <v>1000</v>
      </c>
      <c r="T65" s="5">
        <f t="shared" si="4"/>
        <v>950</v>
      </c>
      <c r="U65" s="5">
        <f t="shared" si="5"/>
        <v>900</v>
      </c>
      <c r="V65" s="5">
        <f t="shared" si="6"/>
        <v>850</v>
      </c>
      <c r="W65" s="89">
        <v>800</v>
      </c>
      <c r="Z65" s="3">
        <v>0.5</v>
      </c>
      <c r="AA65" s="3">
        <v>0</v>
      </c>
      <c r="AB65" s="3">
        <f t="shared" si="3"/>
        <v>-0.48950000000000671</v>
      </c>
    </row>
    <row r="66" spans="2:28" ht="13.8" thickBot="1" x14ac:dyDescent="0.3">
      <c r="B66" s="99"/>
      <c r="C66" s="98" t="s">
        <v>110</v>
      </c>
      <c r="D66" s="97" t="s">
        <v>8</v>
      </c>
      <c r="E66" s="96">
        <f>(4*E63)/(PI()*(E54/100)^2*E58*E60)-E56/100*(4*E63)/(PI()*(E54/100)^2*E58*E60)</f>
        <v>3.1054623042321046</v>
      </c>
      <c r="F66" s="95"/>
      <c r="G66" s="90"/>
      <c r="L66" s="88"/>
      <c r="M66" s="88"/>
      <c r="N66" s="88"/>
      <c r="O66" s="88"/>
      <c r="P66" s="88"/>
      <c r="Q66" s="88"/>
      <c r="R66" s="3" t="s">
        <v>109</v>
      </c>
      <c r="S66" s="89">
        <v>950</v>
      </c>
      <c r="T66" s="5">
        <f t="shared" si="4"/>
        <v>875</v>
      </c>
      <c r="U66" s="5">
        <f t="shared" si="5"/>
        <v>800</v>
      </c>
      <c r="V66" s="5">
        <f t="shared" si="6"/>
        <v>725</v>
      </c>
      <c r="W66" s="89">
        <v>650</v>
      </c>
    </row>
    <row r="67" spans="2:28" ht="13.8" thickBot="1" x14ac:dyDescent="0.3">
      <c r="B67" s="94"/>
      <c r="C67" s="93"/>
      <c r="D67" s="92"/>
      <c r="E67" s="92"/>
      <c r="F67" s="91"/>
      <c r="G67" s="90"/>
      <c r="L67" s="88"/>
      <c r="M67" s="88"/>
      <c r="N67" s="88"/>
      <c r="O67" s="88"/>
      <c r="P67" s="88"/>
      <c r="Q67" s="88"/>
      <c r="R67" s="3" t="s">
        <v>108</v>
      </c>
      <c r="S67" s="89">
        <v>1020</v>
      </c>
      <c r="T67" s="5">
        <f t="shared" si="4"/>
        <v>947.5</v>
      </c>
      <c r="U67" s="5">
        <f t="shared" si="5"/>
        <v>875</v>
      </c>
      <c r="V67" s="5">
        <f t="shared" si="6"/>
        <v>802.5</v>
      </c>
      <c r="W67" s="89">
        <v>730</v>
      </c>
    </row>
    <row r="68" spans="2:28" x14ac:dyDescent="0.25">
      <c r="G68" s="90"/>
      <c r="L68" s="88"/>
      <c r="M68" s="88"/>
      <c r="N68" s="88"/>
      <c r="O68" s="88"/>
      <c r="P68" s="88"/>
      <c r="Q68" s="88"/>
      <c r="R68" s="3" t="s">
        <v>107</v>
      </c>
      <c r="S68" s="89">
        <v>1050</v>
      </c>
      <c r="T68" s="5">
        <f t="shared" si="4"/>
        <v>970</v>
      </c>
      <c r="U68" s="5">
        <f t="shared" si="5"/>
        <v>890</v>
      </c>
      <c r="V68" s="5">
        <f t="shared" si="6"/>
        <v>810</v>
      </c>
      <c r="W68" s="89">
        <v>730</v>
      </c>
    </row>
    <row r="69" spans="2:28" x14ac:dyDescent="0.25">
      <c r="L69" s="88"/>
      <c r="M69" s="88"/>
      <c r="N69" s="88"/>
      <c r="O69" s="88"/>
      <c r="P69" s="88"/>
      <c r="Q69" s="88"/>
      <c r="R69" s="3" t="s">
        <v>106</v>
      </c>
      <c r="S69" s="89">
        <v>960</v>
      </c>
      <c r="T69" s="5">
        <f t="shared" si="4"/>
        <v>900</v>
      </c>
      <c r="U69" s="5">
        <f t="shared" si="5"/>
        <v>840</v>
      </c>
      <c r="V69" s="5">
        <f t="shared" si="6"/>
        <v>780</v>
      </c>
      <c r="W69" s="89">
        <v>720</v>
      </c>
    </row>
    <row r="70" spans="2:28" x14ac:dyDescent="0.25">
      <c r="L70" s="88"/>
      <c r="M70" s="88"/>
      <c r="N70" s="88"/>
      <c r="O70" s="88"/>
      <c r="P70" s="88"/>
      <c r="Q70" s="88"/>
      <c r="R70" s="3" t="s">
        <v>105</v>
      </c>
      <c r="S70" s="89">
        <v>980</v>
      </c>
      <c r="T70" s="5">
        <f t="shared" si="4"/>
        <v>922.5</v>
      </c>
      <c r="U70" s="5">
        <f t="shared" si="5"/>
        <v>865</v>
      </c>
      <c r="V70" s="5">
        <f t="shared" si="6"/>
        <v>807.5</v>
      </c>
      <c r="W70" s="89">
        <v>750</v>
      </c>
    </row>
    <row r="71" spans="2:28" x14ac:dyDescent="0.25">
      <c r="L71" s="88"/>
      <c r="N71" s="88"/>
      <c r="O71" s="88"/>
      <c r="P71" s="88"/>
      <c r="Q71" s="88"/>
      <c r="R71" s="3" t="s">
        <v>104</v>
      </c>
      <c r="S71" s="89">
        <v>930</v>
      </c>
      <c r="T71" s="5">
        <f t="shared" si="4"/>
        <v>877.5</v>
      </c>
      <c r="U71" s="5">
        <f t="shared" si="5"/>
        <v>825</v>
      </c>
      <c r="V71" s="5">
        <f t="shared" si="6"/>
        <v>772.5</v>
      </c>
      <c r="W71" s="89">
        <v>720</v>
      </c>
    </row>
    <row r="72" spans="2:28" x14ac:dyDescent="0.25">
      <c r="L72" s="88"/>
      <c r="N72" s="88"/>
      <c r="O72" s="88"/>
      <c r="P72" s="88"/>
      <c r="Q72" s="88"/>
      <c r="R72" s="3" t="s">
        <v>103</v>
      </c>
      <c r="S72" s="89">
        <v>1000</v>
      </c>
      <c r="T72" s="5">
        <f t="shared" si="4"/>
        <v>930</v>
      </c>
      <c r="U72" s="5">
        <f t="shared" si="5"/>
        <v>860</v>
      </c>
      <c r="V72" s="5">
        <f t="shared" si="6"/>
        <v>790</v>
      </c>
      <c r="W72" s="89">
        <v>720</v>
      </c>
    </row>
    <row r="73" spans="2:28" x14ac:dyDescent="0.25">
      <c r="L73" s="88"/>
      <c r="N73" s="88"/>
      <c r="O73" s="88"/>
      <c r="P73" s="88"/>
      <c r="Q73" s="88"/>
      <c r="R73" s="3" t="s">
        <v>102</v>
      </c>
      <c r="S73" s="89">
        <v>900</v>
      </c>
      <c r="T73" s="5">
        <f t="shared" si="4"/>
        <v>860</v>
      </c>
      <c r="U73" s="5">
        <f t="shared" si="5"/>
        <v>820</v>
      </c>
      <c r="V73" s="5">
        <f t="shared" si="6"/>
        <v>780</v>
      </c>
      <c r="W73" s="89">
        <v>740</v>
      </c>
    </row>
    <row r="74" spans="2:28" x14ac:dyDescent="0.25">
      <c r="L74" s="88"/>
      <c r="M74" s="88"/>
      <c r="N74" s="88"/>
      <c r="O74" s="88"/>
      <c r="P74" s="88"/>
      <c r="Q74" s="88"/>
      <c r="R74" s="3" t="s">
        <v>101</v>
      </c>
      <c r="S74" s="89">
        <v>950</v>
      </c>
      <c r="T74" s="5">
        <f t="shared" si="4"/>
        <v>877.5</v>
      </c>
      <c r="U74" s="5">
        <f t="shared" si="5"/>
        <v>805</v>
      </c>
      <c r="V74" s="5">
        <f t="shared" si="6"/>
        <v>732.5</v>
      </c>
      <c r="W74" s="89">
        <v>660</v>
      </c>
    </row>
    <row r="75" spans="2:28" x14ac:dyDescent="0.25">
      <c r="L75" s="88"/>
      <c r="M75" s="88"/>
      <c r="N75" s="88"/>
      <c r="O75" s="88"/>
      <c r="P75" s="88"/>
      <c r="Q75" s="88"/>
      <c r="R75" s="3" t="s">
        <v>100</v>
      </c>
      <c r="S75" s="89">
        <v>1120</v>
      </c>
      <c r="T75" s="5">
        <f t="shared" si="4"/>
        <v>1077.5</v>
      </c>
      <c r="U75" s="5">
        <f t="shared" si="5"/>
        <v>1035</v>
      </c>
      <c r="V75" s="5">
        <f t="shared" si="6"/>
        <v>992.5</v>
      </c>
      <c r="W75" s="89">
        <v>950</v>
      </c>
    </row>
    <row r="76" spans="2:28" x14ac:dyDescent="0.25">
      <c r="L76" s="88"/>
      <c r="M76" s="88"/>
      <c r="N76" s="88"/>
      <c r="O76" s="88"/>
      <c r="P76" s="88"/>
      <c r="Q76" s="88"/>
      <c r="R76" s="3" t="s">
        <v>99</v>
      </c>
      <c r="S76" s="89">
        <v>1050</v>
      </c>
      <c r="T76" s="5">
        <f t="shared" si="4"/>
        <v>992.5</v>
      </c>
      <c r="U76" s="5">
        <f t="shared" si="5"/>
        <v>935</v>
      </c>
      <c r="V76" s="5">
        <f t="shared" si="6"/>
        <v>877.5</v>
      </c>
      <c r="W76" s="89">
        <v>820</v>
      </c>
    </row>
    <row r="77" spans="2:28" x14ac:dyDescent="0.25">
      <c r="L77" s="88"/>
      <c r="M77" s="88"/>
      <c r="N77" s="88"/>
      <c r="O77" s="88"/>
      <c r="P77" s="88"/>
      <c r="Q77" s="88"/>
      <c r="R77" s="88" t="s">
        <v>98</v>
      </c>
      <c r="S77" s="89">
        <v>1000</v>
      </c>
      <c r="T77" s="5">
        <f t="shared" si="4"/>
        <v>922.5</v>
      </c>
      <c r="U77" s="5">
        <f t="shared" si="5"/>
        <v>845</v>
      </c>
      <c r="V77" s="5">
        <f t="shared" si="6"/>
        <v>767.5</v>
      </c>
      <c r="W77" s="89">
        <v>690</v>
      </c>
    </row>
    <row r="78" spans="2:28" x14ac:dyDescent="0.25">
      <c r="L78" s="88"/>
      <c r="M78" s="88"/>
      <c r="N78" s="88"/>
      <c r="O78" s="88"/>
      <c r="P78" s="88"/>
      <c r="Q78" s="88"/>
      <c r="R78" s="3" t="s">
        <v>97</v>
      </c>
      <c r="S78" s="89">
        <v>860</v>
      </c>
      <c r="T78" s="5">
        <f t="shared" si="4"/>
        <v>770</v>
      </c>
      <c r="U78" s="5">
        <f t="shared" si="5"/>
        <v>680</v>
      </c>
      <c r="V78" s="5">
        <f t="shared" si="6"/>
        <v>590</v>
      </c>
      <c r="W78" s="89">
        <v>500</v>
      </c>
    </row>
    <row r="79" spans="2:28" x14ac:dyDescent="0.25">
      <c r="L79" s="88"/>
      <c r="M79" s="88"/>
      <c r="N79" s="88"/>
      <c r="O79" s="88"/>
      <c r="P79" s="88"/>
      <c r="Q79" s="88"/>
      <c r="R79" s="88" t="s">
        <v>96</v>
      </c>
      <c r="S79" s="89">
        <v>780</v>
      </c>
      <c r="T79" s="5">
        <f t="shared" si="4"/>
        <v>680</v>
      </c>
      <c r="U79" s="5">
        <f t="shared" si="5"/>
        <v>580</v>
      </c>
      <c r="V79" s="5">
        <f t="shared" si="6"/>
        <v>480</v>
      </c>
      <c r="W79" s="89">
        <v>380</v>
      </c>
    </row>
    <row r="80" spans="2:28" x14ac:dyDescent="0.25">
      <c r="L80" s="88"/>
      <c r="M80" s="88"/>
      <c r="N80" s="88"/>
      <c r="O80" s="88"/>
      <c r="P80" s="88"/>
      <c r="Q80" s="88"/>
      <c r="R80" s="88" t="s">
        <v>95</v>
      </c>
      <c r="S80" s="89">
        <v>840</v>
      </c>
      <c r="T80" s="5">
        <f t="shared" si="4"/>
        <v>755</v>
      </c>
      <c r="U80" s="5">
        <f t="shared" si="5"/>
        <v>670</v>
      </c>
      <c r="V80" s="5">
        <f t="shared" si="6"/>
        <v>585</v>
      </c>
      <c r="W80" s="89">
        <v>500</v>
      </c>
    </row>
    <row r="81" spans="12:23" s="3" customFormat="1" x14ac:dyDescent="0.25">
      <c r="L81" s="88"/>
      <c r="M81" s="88"/>
      <c r="N81" s="88"/>
      <c r="O81" s="88"/>
      <c r="P81" s="88"/>
      <c r="Q81" s="88"/>
      <c r="R81" s="3" t="s">
        <v>94</v>
      </c>
      <c r="S81" s="89">
        <v>900</v>
      </c>
      <c r="T81" s="5">
        <f t="shared" si="4"/>
        <v>830</v>
      </c>
      <c r="U81" s="5">
        <f t="shared" si="5"/>
        <v>760</v>
      </c>
      <c r="V81" s="5">
        <f t="shared" si="6"/>
        <v>690</v>
      </c>
      <c r="W81" s="89">
        <v>620</v>
      </c>
    </row>
    <row r="82" spans="12:23" s="3" customFormat="1" x14ac:dyDescent="0.25">
      <c r="L82" s="88"/>
      <c r="M82" s="88"/>
      <c r="N82" s="88"/>
      <c r="O82" s="88"/>
      <c r="P82" s="88"/>
      <c r="Q82" s="88"/>
      <c r="R82" s="3" t="s">
        <v>93</v>
      </c>
      <c r="S82" s="89">
        <v>1100</v>
      </c>
      <c r="T82" s="5">
        <f t="shared" si="4"/>
        <v>1040</v>
      </c>
      <c r="U82" s="5">
        <f t="shared" si="5"/>
        <v>980</v>
      </c>
      <c r="V82" s="5">
        <f t="shared" si="6"/>
        <v>920</v>
      </c>
      <c r="W82" s="89">
        <v>860</v>
      </c>
    </row>
    <row r="83" spans="12:23" s="3" customFormat="1" x14ac:dyDescent="0.25">
      <c r="L83" s="88"/>
      <c r="M83" s="88"/>
      <c r="N83" s="88"/>
      <c r="O83" s="88"/>
      <c r="P83" s="88"/>
      <c r="Q83" s="88"/>
      <c r="R83" s="3" t="s">
        <v>92</v>
      </c>
      <c r="S83" s="89">
        <v>1100</v>
      </c>
      <c r="T83" s="5">
        <f t="shared" si="4"/>
        <v>1060</v>
      </c>
      <c r="U83" s="5">
        <f t="shared" si="5"/>
        <v>1020</v>
      </c>
      <c r="V83" s="5">
        <f t="shared" si="6"/>
        <v>980</v>
      </c>
      <c r="W83" s="89">
        <v>940</v>
      </c>
    </row>
    <row r="84" spans="12:23" s="3" customFormat="1" x14ac:dyDescent="0.25">
      <c r="L84" s="88"/>
      <c r="M84" s="88"/>
      <c r="N84" s="88"/>
      <c r="O84" s="88"/>
      <c r="P84" s="88"/>
      <c r="Q84" s="88"/>
      <c r="R84" s="88" t="s">
        <v>91</v>
      </c>
      <c r="S84" s="89">
        <v>1050</v>
      </c>
      <c r="T84" s="5">
        <f t="shared" si="4"/>
        <v>987.5</v>
      </c>
      <c r="U84" s="5">
        <f t="shared" si="5"/>
        <v>925</v>
      </c>
      <c r="V84" s="5">
        <f t="shared" si="6"/>
        <v>862.5</v>
      </c>
      <c r="W84" s="89">
        <v>800</v>
      </c>
    </row>
    <row r="85" spans="12:23" s="3" customFormat="1" x14ac:dyDescent="0.25">
      <c r="L85" s="88"/>
      <c r="M85" s="88"/>
      <c r="N85" s="88"/>
      <c r="O85" s="88"/>
      <c r="P85" s="88"/>
      <c r="Q85" s="88"/>
      <c r="R85" s="3" t="s">
        <v>90</v>
      </c>
      <c r="S85" s="89">
        <v>1080</v>
      </c>
      <c r="T85" s="5">
        <f t="shared" si="4"/>
        <v>1002.5</v>
      </c>
      <c r="U85" s="5">
        <f t="shared" si="5"/>
        <v>925</v>
      </c>
      <c r="V85" s="5">
        <f t="shared" si="6"/>
        <v>847.5</v>
      </c>
      <c r="W85" s="89">
        <v>770</v>
      </c>
    </row>
    <row r="86" spans="12:23" s="3" customFormat="1" x14ac:dyDescent="0.25">
      <c r="L86" s="88"/>
      <c r="M86" s="88"/>
      <c r="N86" s="88"/>
      <c r="O86" s="88"/>
      <c r="P86" s="88"/>
      <c r="Q86" s="88"/>
      <c r="R86" s="88" t="s">
        <v>89</v>
      </c>
      <c r="S86" s="89">
        <v>1050</v>
      </c>
      <c r="T86" s="5">
        <f t="shared" si="4"/>
        <v>985</v>
      </c>
      <c r="U86" s="5">
        <f t="shared" si="5"/>
        <v>920</v>
      </c>
      <c r="V86" s="5">
        <f t="shared" si="6"/>
        <v>855</v>
      </c>
      <c r="W86" s="89">
        <v>790</v>
      </c>
    </row>
    <row r="87" spans="12:23" s="3" customFormat="1" x14ac:dyDescent="0.25">
      <c r="L87" s="88"/>
      <c r="M87" s="88"/>
      <c r="N87" s="88"/>
      <c r="O87" s="88"/>
      <c r="P87" s="88"/>
      <c r="Q87" s="88"/>
      <c r="R87" s="3" t="s">
        <v>88</v>
      </c>
      <c r="S87" s="89">
        <v>880</v>
      </c>
      <c r="T87" s="5">
        <f t="shared" si="4"/>
        <v>772.5</v>
      </c>
      <c r="U87" s="5">
        <f t="shared" si="5"/>
        <v>665</v>
      </c>
      <c r="V87" s="5">
        <f t="shared" si="6"/>
        <v>557.5</v>
      </c>
      <c r="W87" s="89">
        <v>450</v>
      </c>
    </row>
    <row r="88" spans="12:23" s="3" customFormat="1" x14ac:dyDescent="0.25">
      <c r="L88" s="88"/>
      <c r="M88" s="88"/>
      <c r="N88" s="88"/>
      <c r="O88" s="88"/>
      <c r="P88" s="88"/>
      <c r="Q88" s="88"/>
      <c r="R88" s="3" t="s">
        <v>87</v>
      </c>
      <c r="S88" s="89">
        <v>860</v>
      </c>
      <c r="T88" s="5">
        <f t="shared" si="4"/>
        <v>835</v>
      </c>
      <c r="U88" s="5">
        <f t="shared" si="5"/>
        <v>810</v>
      </c>
      <c r="V88" s="5">
        <f t="shared" si="6"/>
        <v>785</v>
      </c>
      <c r="W88" s="89">
        <v>760</v>
      </c>
    </row>
    <row r="89" spans="12:23" s="3" customFormat="1" x14ac:dyDescent="0.25">
      <c r="L89" s="88"/>
      <c r="M89" s="88"/>
      <c r="N89" s="88"/>
      <c r="O89" s="88"/>
      <c r="P89" s="88"/>
      <c r="Q89" s="88"/>
      <c r="R89" s="3" t="s">
        <v>86</v>
      </c>
      <c r="S89" s="89">
        <v>1050</v>
      </c>
      <c r="T89" s="5">
        <f t="shared" si="4"/>
        <v>1007.5</v>
      </c>
      <c r="U89" s="5">
        <f t="shared" si="5"/>
        <v>965</v>
      </c>
      <c r="V89" s="5">
        <f t="shared" si="6"/>
        <v>922.5</v>
      </c>
      <c r="W89" s="89">
        <v>880</v>
      </c>
    </row>
    <row r="90" spans="12:23" s="3" customFormat="1" x14ac:dyDescent="0.25">
      <c r="L90" s="88"/>
      <c r="M90" s="88"/>
      <c r="N90" s="88"/>
      <c r="O90" s="88"/>
      <c r="P90" s="88"/>
      <c r="Q90" s="88"/>
      <c r="R90" s="88" t="s">
        <v>85</v>
      </c>
      <c r="S90" s="89">
        <v>900</v>
      </c>
      <c r="T90" s="5">
        <f t="shared" si="4"/>
        <v>837.5</v>
      </c>
      <c r="U90" s="5">
        <f t="shared" si="5"/>
        <v>775</v>
      </c>
      <c r="V90" s="5">
        <f t="shared" si="6"/>
        <v>712.5</v>
      </c>
      <c r="W90" s="89">
        <v>650</v>
      </c>
    </row>
    <row r="91" spans="12:23" s="3" customFormat="1" x14ac:dyDescent="0.25">
      <c r="L91" s="88"/>
      <c r="M91" s="88"/>
      <c r="N91" s="88"/>
      <c r="O91" s="88"/>
      <c r="P91" s="88"/>
      <c r="Q91" s="88"/>
      <c r="R91" s="3" t="s">
        <v>84</v>
      </c>
      <c r="S91" s="89">
        <v>1000</v>
      </c>
      <c r="T91" s="5">
        <f t="shared" si="4"/>
        <v>905</v>
      </c>
      <c r="U91" s="5">
        <f t="shared" si="5"/>
        <v>810</v>
      </c>
      <c r="V91" s="5">
        <f t="shared" si="6"/>
        <v>715</v>
      </c>
      <c r="W91" s="89">
        <v>620</v>
      </c>
    </row>
    <row r="92" spans="12:23" s="3" customFormat="1" x14ac:dyDescent="0.25">
      <c r="L92" s="88"/>
      <c r="M92" s="88"/>
      <c r="N92" s="88"/>
      <c r="O92" s="88"/>
      <c r="P92" s="88"/>
      <c r="Q92" s="88"/>
      <c r="S92" s="2"/>
      <c r="W92" s="2"/>
    </row>
  </sheetData>
  <sheetProtection algorithmName="SHA-512" hashValue="S5H9pX6zU+mVbASMtnUyPnRr8qvQ3f+aAB6MxpNE2KzLeZA4Ge9hNm7LGs407sUdh7TyxPa9LakdPfWbJ/IG8g==" saltValue="EsOmVahp8rwRAD87EX1BfA==" spinCount="100000" sheet="1" objects="1" scenarios="1" selectLockedCells="1"/>
  <mergeCells count="3">
    <mergeCell ref="B2:C3"/>
    <mergeCell ref="B47:F47"/>
    <mergeCell ref="B24:F24"/>
  </mergeCells>
  <dataValidations count="2">
    <dataValidation type="list" allowBlank="1" showInputMessage="1" showErrorMessage="1" sqref="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xr:uid="{00000000-0002-0000-0200-000000000000}">
      <formula1>$Y$31:$Y$35</formula1>
    </dataValidation>
    <dataValidation type="list" allowBlank="1" showInputMessage="1" showErrorMessage="1" sqref="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xr:uid="{00000000-0002-0000-0200-000001000000}">
      <formula1>$R$32:$R$91</formula1>
    </dataValidation>
  </dataValidations>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3"/>
  <sheetViews>
    <sheetView showGridLines="0" workbookViewId="0">
      <selection activeCell="F11" sqref="F11"/>
    </sheetView>
  </sheetViews>
  <sheetFormatPr defaultColWidth="9.109375" defaultRowHeight="13.2" x14ac:dyDescent="0.25"/>
  <cols>
    <col min="1" max="1" width="9.109375" style="3"/>
    <col min="2" max="2" width="26" style="3" bestFit="1" customWidth="1"/>
    <col min="3" max="3" width="9.109375" style="33"/>
    <col min="4" max="8" width="9.109375" style="2"/>
    <col min="9" max="9" width="28.33203125" style="3" customWidth="1"/>
    <col min="10" max="16384" width="9.109375" style="3"/>
  </cols>
  <sheetData>
    <row r="1" spans="2:15" ht="24" customHeight="1" x14ac:dyDescent="0.3">
      <c r="B1" s="164" t="s">
        <v>83</v>
      </c>
      <c r="C1" s="165"/>
      <c r="D1" s="168" t="s">
        <v>205</v>
      </c>
      <c r="E1" s="168"/>
      <c r="F1" s="168"/>
      <c r="G1" s="168"/>
      <c r="H1" s="168"/>
      <c r="I1" s="168"/>
      <c r="J1" s="168"/>
      <c r="K1" s="168"/>
      <c r="L1" s="168"/>
      <c r="M1" s="9"/>
      <c r="N1" s="57"/>
      <c r="O1" s="58"/>
    </row>
    <row r="2" spans="2:15" ht="26.25" customHeight="1" thickBot="1" x14ac:dyDescent="0.35">
      <c r="B2" s="166"/>
      <c r="C2" s="167"/>
      <c r="D2" s="169" t="s">
        <v>204</v>
      </c>
      <c r="E2" s="169"/>
      <c r="F2" s="169"/>
      <c r="G2" s="169"/>
      <c r="H2" s="169"/>
      <c r="I2" s="169"/>
      <c r="J2" s="169"/>
      <c r="K2" s="169"/>
      <c r="L2" s="169"/>
      <c r="M2" s="18"/>
      <c r="N2" s="59"/>
      <c r="O2" s="60"/>
    </row>
    <row r="3" spans="2:15" ht="14.4" x14ac:dyDescent="0.3">
      <c r="B3"/>
      <c r="C3"/>
      <c r="D3" s="1"/>
      <c r="E3" s="1"/>
      <c r="F3"/>
      <c r="G3"/>
      <c r="H3"/>
      <c r="I3"/>
      <c r="J3"/>
      <c r="K3"/>
      <c r="L3"/>
      <c r="M3"/>
      <c r="N3"/>
      <c r="O3"/>
    </row>
    <row r="4" spans="2:15" ht="14.4" x14ac:dyDescent="0.3">
      <c r="B4"/>
      <c r="C4"/>
      <c r="D4" s="61"/>
      <c r="E4" s="61"/>
      <c r="G4" s="186" t="s">
        <v>79</v>
      </c>
      <c r="H4" s="61"/>
      <c r="I4" s="61"/>
      <c r="J4" s="62"/>
      <c r="K4" s="62"/>
      <c r="L4" s="62"/>
      <c r="M4"/>
      <c r="N4" s="62"/>
      <c r="O4"/>
    </row>
    <row r="5" spans="2:15" ht="14.4" x14ac:dyDescent="0.3">
      <c r="B5"/>
      <c r="C5"/>
      <c r="D5" s="61"/>
      <c r="E5" s="61"/>
      <c r="G5" s="187" t="s">
        <v>80</v>
      </c>
      <c r="H5" s="61"/>
      <c r="I5" s="61"/>
      <c r="J5" s="62"/>
      <c r="K5" s="62"/>
      <c r="L5" s="62"/>
      <c r="M5"/>
      <c r="N5" s="62"/>
      <c r="O5"/>
    </row>
    <row r="6" spans="2:15" ht="14.4" x14ac:dyDescent="0.3">
      <c r="B6"/>
      <c r="C6"/>
      <c r="D6" s="1"/>
      <c r="E6" s="1"/>
      <c r="G6" s="188" t="s">
        <v>81</v>
      </c>
      <c r="H6" s="188"/>
      <c r="I6" s="188"/>
      <c r="J6" s="188"/>
      <c r="K6" s="188"/>
      <c r="L6" s="188"/>
      <c r="M6" s="188"/>
      <c r="N6" s="188"/>
      <c r="O6" s="188"/>
    </row>
    <row r="11" spans="2:15" x14ac:dyDescent="0.25">
      <c r="I11" s="72" t="s">
        <v>73</v>
      </c>
      <c r="J11" s="73" t="s">
        <v>72</v>
      </c>
      <c r="K11" s="74">
        <v>22</v>
      </c>
      <c r="L11" s="75" t="s">
        <v>8</v>
      </c>
    </row>
    <row r="12" spans="2:15" x14ac:dyDescent="0.25">
      <c r="I12" s="76" t="s">
        <v>71</v>
      </c>
      <c r="J12" s="77" t="s">
        <v>70</v>
      </c>
      <c r="K12" s="78">
        <v>14</v>
      </c>
      <c r="L12" s="79" t="s">
        <v>8</v>
      </c>
    </row>
    <row r="13" spans="2:15" x14ac:dyDescent="0.25">
      <c r="I13" s="76" t="s">
        <v>69</v>
      </c>
      <c r="J13" s="77" t="s">
        <v>68</v>
      </c>
      <c r="K13" s="78">
        <v>80</v>
      </c>
      <c r="L13" s="79" t="s">
        <v>64</v>
      </c>
    </row>
    <row r="14" spans="2:15" x14ac:dyDescent="0.25">
      <c r="B14" s="72" t="s">
        <v>71</v>
      </c>
      <c r="C14" s="73" t="s">
        <v>70</v>
      </c>
      <c r="D14" s="74">
        <v>10</v>
      </c>
      <c r="E14" s="75" t="s">
        <v>8</v>
      </c>
      <c r="I14" s="76" t="s">
        <v>66</v>
      </c>
      <c r="J14" s="77" t="s">
        <v>65</v>
      </c>
      <c r="K14" s="78">
        <v>37</v>
      </c>
      <c r="L14" s="79" t="s">
        <v>64</v>
      </c>
    </row>
    <row r="15" spans="2:15" x14ac:dyDescent="0.25">
      <c r="B15" s="76" t="s">
        <v>69</v>
      </c>
      <c r="C15" s="77" t="s">
        <v>68</v>
      </c>
      <c r="D15" s="78">
        <v>30</v>
      </c>
      <c r="E15" s="79" t="s">
        <v>64</v>
      </c>
      <c r="I15" s="76" t="s">
        <v>67</v>
      </c>
      <c r="J15" s="77" t="s">
        <v>6</v>
      </c>
      <c r="K15" s="78">
        <v>0.9</v>
      </c>
      <c r="L15" s="79" t="s">
        <v>4</v>
      </c>
    </row>
    <row r="16" spans="2:15" x14ac:dyDescent="0.25">
      <c r="B16" s="76" t="s">
        <v>66</v>
      </c>
      <c r="C16" s="77" t="s">
        <v>65</v>
      </c>
      <c r="D16" s="78">
        <v>18</v>
      </c>
      <c r="E16" s="79" t="s">
        <v>64</v>
      </c>
      <c r="I16" s="76" t="s">
        <v>63</v>
      </c>
      <c r="J16" s="77" t="s">
        <v>6</v>
      </c>
      <c r="K16" s="78">
        <v>0.8</v>
      </c>
      <c r="L16" s="79" t="s">
        <v>4</v>
      </c>
    </row>
    <row r="17" spans="2:15" x14ac:dyDescent="0.25">
      <c r="B17" s="76" t="s">
        <v>62</v>
      </c>
      <c r="C17" s="77" t="s">
        <v>6</v>
      </c>
      <c r="D17" s="78">
        <v>0.8</v>
      </c>
      <c r="E17" s="79" t="s">
        <v>4</v>
      </c>
      <c r="I17" s="76" t="s">
        <v>61</v>
      </c>
      <c r="J17" s="80" t="s">
        <v>60</v>
      </c>
      <c r="K17" s="78">
        <v>1000</v>
      </c>
      <c r="L17" s="79" t="s">
        <v>5</v>
      </c>
    </row>
    <row r="18" spans="2:15" x14ac:dyDescent="0.25">
      <c r="B18" s="76" t="s">
        <v>61</v>
      </c>
      <c r="C18" s="80" t="s">
        <v>60</v>
      </c>
      <c r="D18" s="78">
        <v>900</v>
      </c>
      <c r="E18" s="79" t="s">
        <v>5</v>
      </c>
      <c r="I18" s="76" t="s">
        <v>59</v>
      </c>
      <c r="J18" s="77" t="s">
        <v>56</v>
      </c>
      <c r="K18" s="78">
        <v>6</v>
      </c>
      <c r="L18" s="79" t="s">
        <v>8</v>
      </c>
      <c r="M18" s="36" t="s">
        <v>1</v>
      </c>
      <c r="N18" s="36" t="s">
        <v>0</v>
      </c>
      <c r="O18" s="2" t="s">
        <v>58</v>
      </c>
    </row>
    <row r="19" spans="2:15" x14ac:dyDescent="0.25">
      <c r="B19" s="76" t="s">
        <v>57</v>
      </c>
      <c r="C19" s="77" t="s">
        <v>56</v>
      </c>
      <c r="D19" s="78">
        <v>6</v>
      </c>
      <c r="E19" s="79" t="s">
        <v>8</v>
      </c>
      <c r="I19" s="76" t="s">
        <v>55</v>
      </c>
      <c r="J19" s="80" t="s">
        <v>53</v>
      </c>
      <c r="K19" s="78">
        <v>30</v>
      </c>
      <c r="L19" s="79" t="s">
        <v>36</v>
      </c>
      <c r="M19" s="4">
        <f>SIN($K$19*PI()/180)</f>
        <v>0.49999999999999994</v>
      </c>
      <c r="N19" s="4">
        <f>COS($K$19*PI()/180)</f>
        <v>0.86602540378443871</v>
      </c>
      <c r="O19" s="4"/>
    </row>
    <row r="20" spans="2:15" x14ac:dyDescent="0.25">
      <c r="B20" s="76" t="s">
        <v>54</v>
      </c>
      <c r="C20" s="80" t="s">
        <v>53</v>
      </c>
      <c r="D20" s="78">
        <v>15</v>
      </c>
      <c r="E20" s="79" t="s">
        <v>36</v>
      </c>
      <c r="F20" s="4">
        <f>SIN($D$20*PI()/180)</f>
        <v>0.25881904510252074</v>
      </c>
      <c r="G20" s="4">
        <f>COS($D$20*PI()/180)</f>
        <v>0.96592582628906831</v>
      </c>
      <c r="I20" s="76" t="s">
        <v>52</v>
      </c>
      <c r="J20" s="80" t="s">
        <v>51</v>
      </c>
      <c r="K20" s="78">
        <v>40</v>
      </c>
      <c r="L20" s="79" t="s">
        <v>36</v>
      </c>
      <c r="M20" s="4">
        <f>SIN($K$20*PI()/180)</f>
        <v>0.64278760968653925</v>
      </c>
      <c r="N20" s="4">
        <f>COS($K$20*PI()/180)</f>
        <v>0.76604444311897801</v>
      </c>
      <c r="O20" s="4"/>
    </row>
    <row r="21" spans="2:15" x14ac:dyDescent="0.25">
      <c r="B21" s="76" t="s">
        <v>50</v>
      </c>
      <c r="C21" s="77" t="s">
        <v>49</v>
      </c>
      <c r="D21" s="81">
        <f>PI()/4*(D15/100)^2*D14*D17*D18</f>
        <v>508.93800988154652</v>
      </c>
      <c r="E21" s="79" t="s">
        <v>39</v>
      </c>
      <c r="F21" s="4"/>
      <c r="G21" s="4"/>
      <c r="I21" s="76" t="s">
        <v>48</v>
      </c>
      <c r="J21" s="77" t="s">
        <v>46</v>
      </c>
      <c r="K21" s="82">
        <f>K12/3*((K13/100+2*K14/100)/(K13/100+K14/100))</f>
        <v>6.1424501424501434</v>
      </c>
      <c r="L21" s="79" t="s">
        <v>8</v>
      </c>
      <c r="M21" s="4"/>
      <c r="N21" s="4"/>
      <c r="O21" s="4"/>
    </row>
    <row r="22" spans="2:15" x14ac:dyDescent="0.25">
      <c r="B22" s="76" t="s">
        <v>47</v>
      </c>
      <c r="C22" s="77" t="s">
        <v>46</v>
      </c>
      <c r="D22" s="82">
        <f>D14/3*((D15/100+2*D16/100)/(D15/100+D16/100))</f>
        <v>4.583333333333333</v>
      </c>
      <c r="E22" s="79" t="s">
        <v>8</v>
      </c>
      <c r="F22" s="4"/>
      <c r="G22" s="4"/>
      <c r="I22" s="76" t="s">
        <v>45</v>
      </c>
      <c r="J22" s="77" t="s">
        <v>44</v>
      </c>
      <c r="K22" s="81">
        <f>PI()/4*(K13/100)^2*K11*K15*K17</f>
        <v>9952.5655265724654</v>
      </c>
      <c r="L22" s="79" t="s">
        <v>39</v>
      </c>
    </row>
    <row r="23" spans="2:15" x14ac:dyDescent="0.25">
      <c r="B23" s="76" t="s">
        <v>41</v>
      </c>
      <c r="C23" s="77" t="s">
        <v>40</v>
      </c>
      <c r="D23" s="81">
        <f>D21/2</f>
        <v>254.46900494077326</v>
      </c>
      <c r="E23" s="79" t="s">
        <v>39</v>
      </c>
      <c r="F23" s="4"/>
      <c r="G23" s="4"/>
      <c r="I23" s="76" t="s">
        <v>43</v>
      </c>
      <c r="J23" s="77" t="s">
        <v>42</v>
      </c>
      <c r="K23" s="81">
        <f>PI()/4*(K13/100)^2*K12*K16*K17</f>
        <v>5629.7340352329111</v>
      </c>
      <c r="L23" s="79" t="s">
        <v>39</v>
      </c>
      <c r="M23" s="4"/>
      <c r="N23" s="4"/>
      <c r="O23" s="4"/>
    </row>
    <row r="24" spans="2:15" x14ac:dyDescent="0.25">
      <c r="B24" s="76" t="s">
        <v>38</v>
      </c>
      <c r="C24" s="80" t="s">
        <v>37</v>
      </c>
      <c r="D24" s="83">
        <f>($D$19-$D$14*$F$20)/($D$14*$G$20)</f>
        <v>0.35321651581492713</v>
      </c>
      <c r="E24" s="79"/>
      <c r="F24" s="4"/>
      <c r="G24" s="4"/>
      <c r="I24" s="76" t="s">
        <v>41</v>
      </c>
      <c r="J24" s="77" t="s">
        <v>40</v>
      </c>
      <c r="K24" s="81">
        <f>K22-K23</f>
        <v>4322.8314913395543</v>
      </c>
      <c r="L24" s="79" t="s">
        <v>39</v>
      </c>
      <c r="M24" s="4"/>
      <c r="N24" s="4"/>
      <c r="O24" s="4"/>
    </row>
    <row r="25" spans="2:15" x14ac:dyDescent="0.25">
      <c r="B25" s="76" t="s">
        <v>35</v>
      </c>
      <c r="C25" s="77" t="s">
        <v>34</v>
      </c>
      <c r="D25" s="81">
        <f>($D$21*$D$14*$G$20+$D$23*$D$14*$G$20-$D$21*$D$22*$G$20)/($D$24*$D$14*$G$20+$D$14*$F$20)</f>
        <v>853.46591618879665</v>
      </c>
      <c r="E25" s="79" t="s">
        <v>25</v>
      </c>
      <c r="F25" s="5"/>
      <c r="I25" s="76" t="s">
        <v>38</v>
      </c>
      <c r="J25" s="80" t="s">
        <v>37</v>
      </c>
      <c r="K25" s="81">
        <f>DEGREES(ACOS(N25))</f>
        <v>10.646656993996919</v>
      </c>
      <c r="L25" s="79" t="s">
        <v>36</v>
      </c>
      <c r="M25" s="4">
        <f>SIN($K$25*PI()/180)</f>
        <v>0.184751711643071</v>
      </c>
      <c r="N25" s="4">
        <f>(K18*N20+K12*N19)/SQRT(K12^2+K18^2-2*K12*K18*COS((180-K20-K19)*PI()/180))</f>
        <v>0.98278522834083926</v>
      </c>
      <c r="O25" s="4">
        <f>TAN(K25*PI()/180)</f>
        <v>0.1879878800732212</v>
      </c>
    </row>
    <row r="26" spans="2:15" x14ac:dyDescent="0.25">
      <c r="B26" s="76" t="s">
        <v>33</v>
      </c>
      <c r="C26" s="77" t="s">
        <v>32</v>
      </c>
      <c r="D26" s="81">
        <f>$D$25*TAN($D$24*PI()/80)</f>
        <v>11.838997358901224</v>
      </c>
      <c r="E26" s="79" t="s">
        <v>25</v>
      </c>
      <c r="F26" s="5"/>
      <c r="I26" s="76" t="s">
        <v>35</v>
      </c>
      <c r="J26" s="77" t="s">
        <v>34</v>
      </c>
      <c r="K26" s="81">
        <f>($K$23*$K$21*$N$19-$K$23*$K$12*$N$19-$K$24*$K$12*$N$19)/($O$25*$K$12*$N$19-$K$12*$M$19)</f>
        <v>19217.417954787139</v>
      </c>
      <c r="L26" s="79" t="s">
        <v>25</v>
      </c>
    </row>
    <row r="27" spans="2:15" x14ac:dyDescent="0.25">
      <c r="B27" s="76" t="s">
        <v>31</v>
      </c>
      <c r="C27" s="77" t="s">
        <v>30</v>
      </c>
      <c r="D27" s="81">
        <f>$D$25</f>
        <v>853.46591618879665</v>
      </c>
      <c r="E27" s="79" t="s">
        <v>25</v>
      </c>
      <c r="F27" s="5"/>
      <c r="I27" s="76" t="s">
        <v>33</v>
      </c>
      <c r="J27" s="77" t="s">
        <v>32</v>
      </c>
      <c r="K27" s="81">
        <f>$K$26*TAN($O$25*PI()/80)</f>
        <v>141.87068353531811</v>
      </c>
      <c r="L27" s="79" t="s">
        <v>25</v>
      </c>
      <c r="N27" s="35"/>
    </row>
    <row r="28" spans="2:15" x14ac:dyDescent="0.25">
      <c r="B28" s="76" t="s">
        <v>29</v>
      </c>
      <c r="C28" s="77" t="s">
        <v>28</v>
      </c>
      <c r="D28" s="81">
        <f>-$D$26+$D$21+$D$23</f>
        <v>751.56801746341853</v>
      </c>
      <c r="E28" s="79" t="s">
        <v>25</v>
      </c>
      <c r="F28" s="5"/>
      <c r="I28" s="76" t="s">
        <v>31</v>
      </c>
      <c r="J28" s="77" t="s">
        <v>30</v>
      </c>
      <c r="K28" s="81">
        <f>$K$26</f>
        <v>19217.417954787139</v>
      </c>
      <c r="L28" s="79" t="s">
        <v>25</v>
      </c>
    </row>
    <row r="29" spans="2:15" x14ac:dyDescent="0.25">
      <c r="B29" s="84" t="s">
        <v>27</v>
      </c>
      <c r="C29" s="85" t="s">
        <v>26</v>
      </c>
      <c r="D29" s="86">
        <f>SQRT($D$25^2+$D$26^2)</f>
        <v>853.5480255700005</v>
      </c>
      <c r="E29" s="87" t="s">
        <v>25</v>
      </c>
      <c r="F29" s="5"/>
      <c r="I29" s="76" t="s">
        <v>29</v>
      </c>
      <c r="J29" s="77" t="s">
        <v>28</v>
      </c>
      <c r="K29" s="81">
        <f>-$K$27+$K$23+$K$24</f>
        <v>9810.6948430371485</v>
      </c>
      <c r="L29" s="79" t="s">
        <v>25</v>
      </c>
    </row>
    <row r="30" spans="2:15" x14ac:dyDescent="0.25">
      <c r="I30" s="84" t="s">
        <v>27</v>
      </c>
      <c r="J30" s="85" t="s">
        <v>26</v>
      </c>
      <c r="K30" s="86">
        <f>SQRT($K$26^2+$K$27^2)</f>
        <v>19217.941620782956</v>
      </c>
      <c r="L30" s="87" t="s">
        <v>25</v>
      </c>
    </row>
    <row r="33" spans="2:14" x14ac:dyDescent="0.25">
      <c r="L33" s="2"/>
      <c r="M33" s="4"/>
      <c r="N33" s="4"/>
    </row>
    <row r="43" spans="2:14" x14ac:dyDescent="0.25">
      <c r="B43" s="2"/>
      <c r="C43" s="3"/>
      <c r="D43" s="3"/>
      <c r="E43" s="3"/>
      <c r="F43" s="3"/>
      <c r="G43" s="3"/>
      <c r="H43" s="3"/>
    </row>
  </sheetData>
  <sheetProtection algorithmName="SHA-512" hashValue="W+NC2CuoJG6BAFNVWKohI6IMb08B7uXKEhGAY7zh0a6Ycaa56K5XzRhe33mqp5IQxpKP7CBCv5g47xMANlm2Eg==" saltValue="0XFcBfaKIMNtFTrflqoBsA==" spinCount="100000" sheet="1" objects="1" scenarios="1"/>
  <mergeCells count="3">
    <mergeCell ref="B1:C2"/>
    <mergeCell ref="D1:L1"/>
    <mergeCell ref="D2:L2"/>
  </mergeCells>
  <pageMargins left="0.75" right="0.75" top="1" bottom="1" header="0.5" footer="0.5"/>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M24"/>
  <sheetViews>
    <sheetView workbookViewId="0">
      <selection activeCell="J10" sqref="J10"/>
    </sheetView>
  </sheetViews>
  <sheetFormatPr defaultRowHeight="14.4" x14ac:dyDescent="0.3"/>
  <cols>
    <col min="5" max="5" width="9.5546875" customWidth="1"/>
    <col min="6" max="6" width="11.5546875" bestFit="1" customWidth="1"/>
    <col min="9" max="9" width="9.5546875" bestFit="1" customWidth="1"/>
  </cols>
  <sheetData>
    <row r="2" spans="3:13" x14ac:dyDescent="0.3">
      <c r="C2" s="62" t="s">
        <v>165</v>
      </c>
      <c r="D2" s="1" t="s">
        <v>166</v>
      </c>
      <c r="E2" s="136">
        <f>2</f>
        <v>2</v>
      </c>
      <c r="F2" s="1" t="s">
        <v>167</v>
      </c>
    </row>
    <row r="3" spans="3:13" x14ac:dyDescent="0.3">
      <c r="C3" s="62" t="s">
        <v>171</v>
      </c>
      <c r="D3" s="1" t="s">
        <v>170</v>
      </c>
      <c r="E3" s="136">
        <f>1000</f>
        <v>1000</v>
      </c>
      <c r="F3" s="1" t="s">
        <v>167</v>
      </c>
      <c r="I3" s="62" t="s">
        <v>175</v>
      </c>
      <c r="J3" s="136">
        <v>2</v>
      </c>
      <c r="K3" s="136">
        <v>4</v>
      </c>
      <c r="L3" s="136">
        <v>8</v>
      </c>
    </row>
    <row r="4" spans="3:13" x14ac:dyDescent="0.3">
      <c r="D4" s="1"/>
      <c r="I4" s="62" t="s">
        <v>176</v>
      </c>
      <c r="J4" s="136">
        <v>20</v>
      </c>
      <c r="K4" s="136">
        <v>5</v>
      </c>
      <c r="L4" s="136">
        <v>20</v>
      </c>
    </row>
    <row r="5" spans="3:13" x14ac:dyDescent="0.3">
      <c r="C5" s="62" t="s">
        <v>7</v>
      </c>
      <c r="D5" s="1" t="s">
        <v>179</v>
      </c>
      <c r="E5" s="136">
        <v>400</v>
      </c>
      <c r="F5" s="1" t="s">
        <v>64</v>
      </c>
      <c r="I5" s="62" t="s">
        <v>178</v>
      </c>
      <c r="J5" s="1">
        <f>J3*9.8</f>
        <v>19.600000000000001</v>
      </c>
      <c r="K5" s="1">
        <f t="shared" ref="K5:L5" si="0">K3*9.8</f>
        <v>39.200000000000003</v>
      </c>
      <c r="L5" s="1">
        <f t="shared" si="0"/>
        <v>78.400000000000006</v>
      </c>
    </row>
    <row r="7" spans="3:13" x14ac:dyDescent="0.3">
      <c r="D7" s="1" t="s">
        <v>64</v>
      </c>
      <c r="E7" s="1" t="s">
        <v>180</v>
      </c>
      <c r="F7" s="1" t="s">
        <v>181</v>
      </c>
      <c r="G7" s="1" t="s">
        <v>182</v>
      </c>
      <c r="H7" s="1" t="s">
        <v>64</v>
      </c>
      <c r="I7" s="1" t="s">
        <v>167</v>
      </c>
      <c r="J7" s="1" t="s">
        <v>64</v>
      </c>
      <c r="K7" s="1" t="s">
        <v>64</v>
      </c>
      <c r="L7" s="1" t="s">
        <v>64</v>
      </c>
    </row>
    <row r="8" spans="3:13" x14ac:dyDescent="0.3">
      <c r="D8" t="s">
        <v>164</v>
      </c>
      <c r="E8" s="1" t="s">
        <v>173</v>
      </c>
      <c r="F8" s="1" t="s">
        <v>168</v>
      </c>
      <c r="G8" s="1" t="s">
        <v>177</v>
      </c>
      <c r="H8" s="1" t="s">
        <v>169</v>
      </c>
      <c r="I8" s="1" t="s">
        <v>172</v>
      </c>
      <c r="J8" s="1" t="s">
        <v>174</v>
      </c>
      <c r="K8" s="1" t="s">
        <v>174</v>
      </c>
      <c r="L8" s="1" t="s">
        <v>174</v>
      </c>
      <c r="M8" s="1"/>
    </row>
    <row r="9" spans="3:13" x14ac:dyDescent="0.3">
      <c r="D9" s="1">
        <v>5</v>
      </c>
      <c r="E9" s="134">
        <f t="shared" ref="E9:E24" si="1">PI()/64*D9^4</f>
        <v>30.679615757712824</v>
      </c>
      <c r="F9" s="134">
        <f t="shared" ref="F9:F24" si="2">PI()/32*D9^3</f>
        <v>12.271846303085129</v>
      </c>
      <c r="G9" s="132">
        <f>$E$2*F9/$E$5</f>
        <v>6.135923151542564E-2</v>
      </c>
      <c r="H9" s="133">
        <f>(G9*$E$5^3)/(3*$E$3*E9)</f>
        <v>42.666666666666664</v>
      </c>
      <c r="I9" s="135">
        <f t="shared" ref="I9:I24" si="3">0.5*G9*H9</f>
        <v>1.308996938995747</v>
      </c>
      <c r="J9" s="133">
        <f>IF($G9&gt;J$5,#N/A,(($E$5*(J$4/100)/J$5)*$G9))</f>
        <v>0.25044584292010463</v>
      </c>
      <c r="K9" s="133">
        <f t="shared" ref="J9:L24" si="4">IF($G9&gt;K$5,#N/A,(($E$5*(K$4/100)/K$5)*$G9))</f>
        <v>3.1305730365013079E-2</v>
      </c>
      <c r="L9" s="133">
        <f t="shared" si="4"/>
        <v>6.2611460730026158E-2</v>
      </c>
      <c r="M9" s="1"/>
    </row>
    <row r="10" spans="3:13" x14ac:dyDescent="0.3">
      <c r="D10" s="1">
        <v>10</v>
      </c>
      <c r="E10" s="134">
        <f t="shared" si="1"/>
        <v>490.87385212340519</v>
      </c>
      <c r="F10" s="134">
        <f t="shared" si="2"/>
        <v>98.174770424681029</v>
      </c>
      <c r="G10" s="132">
        <f>$E$2*F10/$E$5</f>
        <v>0.49087385212340512</v>
      </c>
      <c r="H10" s="133">
        <f t="shared" ref="H10:H24" si="5">(G10*$E$5^3)/(3*$E$3*E10)</f>
        <v>21.333333333333332</v>
      </c>
      <c r="I10" s="135">
        <f t="shared" si="3"/>
        <v>5.2359877559829879</v>
      </c>
      <c r="J10" s="133">
        <f>IF($G10&gt;J$5,#N/A,(($E$5*(J$4/100)/J$5)*$G10))</f>
        <v>2.0035667433608371</v>
      </c>
      <c r="K10" s="133">
        <f t="shared" si="4"/>
        <v>0.25044584292010463</v>
      </c>
      <c r="L10" s="133">
        <f t="shared" si="4"/>
        <v>0.50089168584020927</v>
      </c>
    </row>
    <row r="11" spans="3:13" x14ac:dyDescent="0.3">
      <c r="D11" s="1">
        <v>15</v>
      </c>
      <c r="E11" s="134">
        <f t="shared" si="1"/>
        <v>2485.0488763747385</v>
      </c>
      <c r="F11" s="134">
        <f t="shared" si="2"/>
        <v>331.33985018329849</v>
      </c>
      <c r="G11" s="132">
        <f t="shared" ref="G11:G24" si="6">$E$2*F11/$E$5</f>
        <v>1.6566992509164924</v>
      </c>
      <c r="H11" s="133">
        <f t="shared" si="5"/>
        <v>14.222222222222223</v>
      </c>
      <c r="I11" s="135">
        <f t="shared" si="3"/>
        <v>11.780972450961725</v>
      </c>
      <c r="J11" s="133">
        <f t="shared" si="4"/>
        <v>6.7620377588428262</v>
      </c>
      <c r="K11" s="133">
        <f t="shared" si="4"/>
        <v>0.84525471985535328</v>
      </c>
      <c r="L11" s="133">
        <f t="shared" si="4"/>
        <v>1.6905094397107066</v>
      </c>
    </row>
    <row r="12" spans="3:13" x14ac:dyDescent="0.3">
      <c r="D12" s="1">
        <v>20</v>
      </c>
      <c r="E12" s="134">
        <f t="shared" si="1"/>
        <v>7853.981633974483</v>
      </c>
      <c r="F12" s="134">
        <f t="shared" si="2"/>
        <v>785.39816339744823</v>
      </c>
      <c r="G12" s="132">
        <f t="shared" si="6"/>
        <v>3.926990816987241</v>
      </c>
      <c r="H12" s="133">
        <f t="shared" si="5"/>
        <v>10.666666666666666</v>
      </c>
      <c r="I12" s="135">
        <f t="shared" si="3"/>
        <v>20.943951023931952</v>
      </c>
      <c r="J12" s="133">
        <f t="shared" si="4"/>
        <v>16.028533946886697</v>
      </c>
      <c r="K12" s="133">
        <f t="shared" si="4"/>
        <v>2.0035667433608371</v>
      </c>
      <c r="L12" s="133">
        <f t="shared" si="4"/>
        <v>4.0071334867216741</v>
      </c>
    </row>
    <row r="13" spans="3:13" x14ac:dyDescent="0.3">
      <c r="D13" s="1">
        <v>25</v>
      </c>
      <c r="E13" s="134">
        <f t="shared" si="1"/>
        <v>19174.759848570513</v>
      </c>
      <c r="F13" s="134">
        <f t="shared" si="2"/>
        <v>1533.9807878856411</v>
      </c>
      <c r="G13" s="132">
        <f t="shared" si="6"/>
        <v>7.669903939428206</v>
      </c>
      <c r="H13" s="133">
        <f t="shared" si="5"/>
        <v>8.5333333333333332</v>
      </c>
      <c r="I13" s="135">
        <f t="shared" si="3"/>
        <v>32.724923474893679</v>
      </c>
      <c r="J13" s="133">
        <f t="shared" si="4"/>
        <v>31.305730365013087</v>
      </c>
      <c r="K13" s="133">
        <f t="shared" si="4"/>
        <v>3.9132162956266359</v>
      </c>
      <c r="L13" s="133">
        <f t="shared" si="4"/>
        <v>7.8264325912532717</v>
      </c>
    </row>
    <row r="14" spans="3:13" x14ac:dyDescent="0.3">
      <c r="D14" s="1">
        <v>30</v>
      </c>
      <c r="E14" s="134">
        <f t="shared" si="1"/>
        <v>39760.782021995816</v>
      </c>
      <c r="F14" s="134">
        <f t="shared" si="2"/>
        <v>2650.718801466388</v>
      </c>
      <c r="G14" s="132">
        <f t="shared" si="6"/>
        <v>13.253594007331939</v>
      </c>
      <c r="H14" s="133">
        <f t="shared" si="5"/>
        <v>7.1111111111111116</v>
      </c>
      <c r="I14" s="135">
        <f t="shared" si="3"/>
        <v>47.1238898038469</v>
      </c>
      <c r="J14" s="133">
        <f t="shared" si="4"/>
        <v>54.09630207074261</v>
      </c>
      <c r="K14" s="133">
        <f t="shared" si="4"/>
        <v>6.7620377588428262</v>
      </c>
      <c r="L14" s="133">
        <f t="shared" si="4"/>
        <v>13.524075517685652</v>
      </c>
    </row>
    <row r="15" spans="3:13" x14ac:dyDescent="0.3">
      <c r="D15" s="1">
        <v>35</v>
      </c>
      <c r="E15" s="134">
        <f t="shared" si="1"/>
        <v>73661.757434268482</v>
      </c>
      <c r="F15" s="134">
        <f t="shared" si="2"/>
        <v>4209.2432819581991</v>
      </c>
      <c r="G15" s="132">
        <f t="shared" si="6"/>
        <v>21.046216409790997</v>
      </c>
      <c r="H15" s="133">
        <f t="shared" si="5"/>
        <v>6.0952380952380958</v>
      </c>
      <c r="I15" s="135">
        <f t="shared" si="3"/>
        <v>64.14085001079161</v>
      </c>
      <c r="J15" s="133" t="e">
        <f t="shared" si="4"/>
        <v>#N/A</v>
      </c>
      <c r="K15" s="133">
        <f t="shared" si="4"/>
        <v>10.737865515199488</v>
      </c>
      <c r="L15" s="133">
        <f t="shared" si="4"/>
        <v>21.475731030398975</v>
      </c>
    </row>
    <row r="16" spans="3:13" x14ac:dyDescent="0.3">
      <c r="D16" s="1">
        <v>40</v>
      </c>
      <c r="E16" s="134">
        <f t="shared" si="1"/>
        <v>125663.70614359173</v>
      </c>
      <c r="F16" s="134">
        <f t="shared" si="2"/>
        <v>6283.1853071795858</v>
      </c>
      <c r="G16" s="132">
        <f t="shared" si="6"/>
        <v>31.415926535897928</v>
      </c>
      <c r="H16" s="133">
        <f t="shared" si="5"/>
        <v>5.333333333333333</v>
      </c>
      <c r="I16" s="135">
        <f t="shared" si="3"/>
        <v>83.775804095727807</v>
      </c>
      <c r="J16" s="133" t="e">
        <f t="shared" si="4"/>
        <v>#N/A</v>
      </c>
      <c r="K16" s="133">
        <f t="shared" si="4"/>
        <v>16.028533946886697</v>
      </c>
      <c r="L16" s="133">
        <f t="shared" si="4"/>
        <v>32.057067893773393</v>
      </c>
    </row>
    <row r="17" spans="4:12" x14ac:dyDescent="0.3">
      <c r="D17" s="1">
        <v>45</v>
      </c>
      <c r="E17" s="134">
        <f t="shared" si="1"/>
        <v>201288.95898635383</v>
      </c>
      <c r="F17" s="134">
        <f t="shared" si="2"/>
        <v>8946.1759549490598</v>
      </c>
      <c r="G17" s="132">
        <f t="shared" si="6"/>
        <v>44.730879774745297</v>
      </c>
      <c r="H17" s="133">
        <f t="shared" si="5"/>
        <v>4.7407407407407414</v>
      </c>
      <c r="I17" s="135">
        <f t="shared" si="3"/>
        <v>106.02875205865553</v>
      </c>
      <c r="J17" s="133" t="e">
        <f t="shared" si="4"/>
        <v>#N/A</v>
      </c>
      <c r="K17" s="133" t="e">
        <f t="shared" si="4"/>
        <v>#N/A</v>
      </c>
      <c r="L17" s="133">
        <f t="shared" si="4"/>
        <v>45.643754872189078</v>
      </c>
    </row>
    <row r="18" spans="4:12" x14ac:dyDescent="0.3">
      <c r="D18" s="1">
        <v>50</v>
      </c>
      <c r="E18" s="134">
        <f t="shared" si="1"/>
        <v>306796.15757712821</v>
      </c>
      <c r="F18" s="134">
        <f t="shared" si="2"/>
        <v>12271.846303085129</v>
      </c>
      <c r="G18" s="132">
        <f t="shared" si="6"/>
        <v>61.359231515425648</v>
      </c>
      <c r="H18" s="133">
        <f t="shared" si="5"/>
        <v>4.2666666666666666</v>
      </c>
      <c r="I18" s="135">
        <f t="shared" si="3"/>
        <v>130.89969389957471</v>
      </c>
      <c r="J18" s="133" t="e">
        <f t="shared" si="4"/>
        <v>#N/A</v>
      </c>
      <c r="K18" s="133" t="e">
        <f t="shared" si="4"/>
        <v>#N/A</v>
      </c>
      <c r="L18" s="133">
        <f t="shared" si="4"/>
        <v>62.611460730026174</v>
      </c>
    </row>
    <row r="19" spans="4:12" x14ac:dyDescent="0.3">
      <c r="D19" s="1">
        <v>55</v>
      </c>
      <c r="E19" s="134">
        <f t="shared" si="1"/>
        <v>449180.25430867344</v>
      </c>
      <c r="F19" s="134">
        <f t="shared" si="2"/>
        <v>16333.827429406307</v>
      </c>
      <c r="G19" s="132">
        <f t="shared" si="6"/>
        <v>81.669137147031535</v>
      </c>
      <c r="H19" s="133">
        <f t="shared" si="5"/>
        <v>3.8787878787878785</v>
      </c>
      <c r="I19" s="135">
        <f t="shared" si="3"/>
        <v>158.3886296184854</v>
      </c>
      <c r="J19" s="133" t="e">
        <f t="shared" si="4"/>
        <v>#N/A</v>
      </c>
      <c r="K19" s="133" t="e">
        <f t="shared" si="4"/>
        <v>#N/A</v>
      </c>
      <c r="L19" s="133" t="e">
        <f t="shared" si="4"/>
        <v>#N/A</v>
      </c>
    </row>
    <row r="20" spans="4:12" x14ac:dyDescent="0.3">
      <c r="D20" s="1">
        <v>60</v>
      </c>
      <c r="E20" s="134">
        <f t="shared" si="1"/>
        <v>636172.51235193305</v>
      </c>
      <c r="F20" s="134">
        <f t="shared" si="2"/>
        <v>21205.750411731104</v>
      </c>
      <c r="G20" s="132">
        <f t="shared" si="6"/>
        <v>106.02875205865551</v>
      </c>
      <c r="H20" s="133">
        <f t="shared" si="5"/>
        <v>3.5555555555555558</v>
      </c>
      <c r="I20" s="135">
        <f t="shared" si="3"/>
        <v>188.4955592153876</v>
      </c>
      <c r="J20" s="133" t="e">
        <f t="shared" si="4"/>
        <v>#N/A</v>
      </c>
      <c r="K20" s="133" t="e">
        <f t="shared" si="4"/>
        <v>#N/A</v>
      </c>
      <c r="L20" s="133" t="e">
        <f t="shared" si="4"/>
        <v>#N/A</v>
      </c>
    </row>
    <row r="21" spans="4:12" x14ac:dyDescent="0.3">
      <c r="D21" s="1">
        <v>65</v>
      </c>
      <c r="E21" s="134">
        <f t="shared" si="1"/>
        <v>876240.50565603597</v>
      </c>
      <c r="F21" s="134">
        <f t="shared" si="2"/>
        <v>26961.246327878031</v>
      </c>
      <c r="G21" s="132">
        <f t="shared" si="6"/>
        <v>134.80623163939015</v>
      </c>
      <c r="H21" s="133">
        <f t="shared" si="5"/>
        <v>3.2820512820512819</v>
      </c>
      <c r="I21" s="135">
        <f t="shared" si="3"/>
        <v>221.22048269028127</v>
      </c>
      <c r="J21" s="133" t="e">
        <f t="shared" si="4"/>
        <v>#N/A</v>
      </c>
      <c r="K21" s="133" t="e">
        <f t="shared" si="4"/>
        <v>#N/A</v>
      </c>
      <c r="L21" s="133" t="e">
        <f t="shared" si="4"/>
        <v>#N/A</v>
      </c>
    </row>
    <row r="22" spans="4:12" x14ac:dyDescent="0.3">
      <c r="D22" s="1">
        <v>70</v>
      </c>
      <c r="E22" s="134">
        <f t="shared" si="1"/>
        <v>1178588.1189482957</v>
      </c>
      <c r="F22" s="134">
        <f t="shared" si="2"/>
        <v>33673.946255665593</v>
      </c>
      <c r="G22" s="132">
        <f t="shared" si="6"/>
        <v>168.36973127832798</v>
      </c>
      <c r="H22" s="133">
        <f t="shared" si="5"/>
        <v>3.0476190476190479</v>
      </c>
      <c r="I22" s="135">
        <f t="shared" si="3"/>
        <v>256.56340004316644</v>
      </c>
      <c r="J22" s="133" t="e">
        <f t="shared" si="4"/>
        <v>#N/A</v>
      </c>
      <c r="K22" s="133" t="e">
        <f t="shared" si="4"/>
        <v>#N/A</v>
      </c>
      <c r="L22" s="133" t="e">
        <f t="shared" si="4"/>
        <v>#N/A</v>
      </c>
    </row>
    <row r="23" spans="4:12" x14ac:dyDescent="0.3">
      <c r="D23" s="1">
        <v>75</v>
      </c>
      <c r="E23" s="134">
        <f t="shared" si="1"/>
        <v>1553155.5477342117</v>
      </c>
      <c r="F23" s="134">
        <f t="shared" si="2"/>
        <v>41417.481272912315</v>
      </c>
      <c r="G23" s="132">
        <f t="shared" si="6"/>
        <v>207.08740636456159</v>
      </c>
      <c r="H23" s="133">
        <f t="shared" si="5"/>
        <v>2.844444444444445</v>
      </c>
      <c r="I23" s="135">
        <f t="shared" si="3"/>
        <v>294.52431127404321</v>
      </c>
      <c r="J23" s="133" t="e">
        <f t="shared" si="4"/>
        <v>#N/A</v>
      </c>
      <c r="K23" s="133" t="e">
        <f t="shared" si="4"/>
        <v>#N/A</v>
      </c>
      <c r="L23" s="133" t="e">
        <f t="shared" si="4"/>
        <v>#N/A</v>
      </c>
    </row>
    <row r="24" spans="4:12" x14ac:dyDescent="0.3">
      <c r="D24" s="1">
        <v>80</v>
      </c>
      <c r="E24" s="134">
        <f t="shared" si="1"/>
        <v>2010619.2982974676</v>
      </c>
      <c r="F24" s="134">
        <f t="shared" si="2"/>
        <v>50265.482457436687</v>
      </c>
      <c r="G24" s="132">
        <f t="shared" si="6"/>
        <v>251.32741228718342</v>
      </c>
      <c r="H24" s="133">
        <f t="shared" si="5"/>
        <v>2.6666666666666665</v>
      </c>
      <c r="I24" s="135">
        <f t="shared" si="3"/>
        <v>335.10321638291123</v>
      </c>
      <c r="J24" s="133" t="e">
        <f t="shared" si="4"/>
        <v>#N/A</v>
      </c>
      <c r="K24" s="133" t="e">
        <f t="shared" si="4"/>
        <v>#N/A</v>
      </c>
      <c r="L24" s="133" t="e">
        <f t="shared" si="4"/>
        <v>#N/A</v>
      </c>
    </row>
  </sheetData>
  <pageMargins left="0.7" right="0.7" top="0.75" bottom="0.75" header="0.3" footer="0.3"/>
  <drawing r:id="rId1"/>
  <legacyDrawing r:id="rId2"/>
  <oleObjects>
    <mc:AlternateContent xmlns:mc="http://schemas.openxmlformats.org/markup-compatibility/2006">
      <mc:Choice Requires="x14">
        <oleObject progId="Equation.3" shapeId="2049" r:id="rId3">
          <objectPr defaultSize="0" autoPict="0" r:id="rId4">
            <anchor moveWithCells="1" sizeWithCells="1">
              <from>
                <xdr:col>14</xdr:col>
                <xdr:colOff>182880</xdr:colOff>
                <xdr:row>2</xdr:row>
                <xdr:rowOff>182880</xdr:rowOff>
              </from>
              <to>
                <xdr:col>16</xdr:col>
                <xdr:colOff>365760</xdr:colOff>
                <xdr:row>7</xdr:row>
                <xdr:rowOff>99060</xdr:rowOff>
              </to>
            </anchor>
          </objectPr>
        </oleObject>
      </mc:Choice>
      <mc:Fallback>
        <oleObject progId="Equation.3" shapeId="2049" r:id="rId3"/>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16"/>
  <sheetViews>
    <sheetView workbookViewId="0">
      <selection activeCell="D14" sqref="D14"/>
    </sheetView>
  </sheetViews>
  <sheetFormatPr defaultRowHeight="14.4" x14ac:dyDescent="0.3"/>
  <cols>
    <col min="2" max="2" width="41.33203125" bestFit="1" customWidth="1"/>
    <col min="3" max="4" width="9.109375" style="1"/>
  </cols>
  <sheetData>
    <row r="3" spans="2:4" ht="15" thickBot="1" x14ac:dyDescent="0.35"/>
    <row r="4" spans="2:4" x14ac:dyDescent="0.3">
      <c r="B4" s="137" t="s">
        <v>183</v>
      </c>
      <c r="C4" s="9" t="s">
        <v>184</v>
      </c>
      <c r="D4" s="138">
        <v>5</v>
      </c>
    </row>
    <row r="5" spans="2:4" x14ac:dyDescent="0.3">
      <c r="B5" s="139" t="s">
        <v>185</v>
      </c>
      <c r="C5" s="140" t="s">
        <v>64</v>
      </c>
      <c r="D5" s="141">
        <f>D4*2/10</f>
        <v>1</v>
      </c>
    </row>
    <row r="6" spans="2:4" x14ac:dyDescent="0.3">
      <c r="B6" s="142"/>
      <c r="C6" s="140"/>
      <c r="D6" s="143"/>
    </row>
    <row r="7" spans="2:4" x14ac:dyDescent="0.3">
      <c r="B7" s="142"/>
      <c r="C7" s="140"/>
      <c r="D7" s="143"/>
    </row>
    <row r="8" spans="2:4" x14ac:dyDescent="0.3">
      <c r="B8" s="139" t="s">
        <v>186</v>
      </c>
      <c r="C8" s="140" t="s">
        <v>64</v>
      </c>
      <c r="D8" s="144">
        <v>50</v>
      </c>
    </row>
    <row r="9" spans="2:4" x14ac:dyDescent="0.3">
      <c r="B9" s="139" t="s">
        <v>192</v>
      </c>
      <c r="C9" s="140" t="s">
        <v>8</v>
      </c>
      <c r="D9" s="12">
        <f>D8*PI()/100</f>
        <v>1.5707963267948966</v>
      </c>
    </row>
    <row r="10" spans="2:4" x14ac:dyDescent="0.3">
      <c r="B10" s="139" t="s">
        <v>187</v>
      </c>
      <c r="C10" s="140"/>
      <c r="D10" s="144">
        <v>8</v>
      </c>
    </row>
    <row r="11" spans="2:4" x14ac:dyDescent="0.3">
      <c r="B11" s="139" t="s">
        <v>188</v>
      </c>
      <c r="C11" s="140" t="s">
        <v>64</v>
      </c>
      <c r="D11" s="143">
        <f>D8+D10*D5</f>
        <v>58</v>
      </c>
    </row>
    <row r="12" spans="2:4" x14ac:dyDescent="0.3">
      <c r="B12" s="139" t="s">
        <v>191</v>
      </c>
      <c r="C12" s="140" t="s">
        <v>8</v>
      </c>
      <c r="D12" s="12">
        <f>D11*PI()/100</f>
        <v>1.8221237390820801</v>
      </c>
    </row>
    <row r="13" spans="2:4" x14ac:dyDescent="0.3">
      <c r="B13" s="142"/>
      <c r="C13" s="140"/>
      <c r="D13" s="143"/>
    </row>
    <row r="14" spans="2:4" x14ac:dyDescent="0.3">
      <c r="B14" s="139" t="s">
        <v>189</v>
      </c>
      <c r="C14" s="140" t="s">
        <v>8</v>
      </c>
      <c r="D14" s="144">
        <v>5</v>
      </c>
    </row>
    <row r="15" spans="2:4" ht="15" thickBot="1" x14ac:dyDescent="0.35">
      <c r="B15" s="145"/>
      <c r="C15" s="18"/>
      <c r="D15" s="19"/>
    </row>
    <row r="16" spans="2:4" ht="15" thickBot="1" x14ac:dyDescent="0.35">
      <c r="B16" s="146" t="s">
        <v>190</v>
      </c>
      <c r="C16" s="147" t="s">
        <v>125</v>
      </c>
      <c r="D16" s="148">
        <f>(D12-D9)*2/D14*100</f>
        <v>10.053096491487343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K10"/>
  <sheetViews>
    <sheetView workbookViewId="0">
      <selection activeCell="C6" sqref="C6:G6"/>
    </sheetView>
  </sheetViews>
  <sheetFormatPr defaultRowHeight="14.4" x14ac:dyDescent="0.3"/>
  <cols>
    <col min="7" max="7" width="8.6640625" customWidth="1"/>
    <col min="8" max="8" width="9.109375" style="1"/>
    <col min="9" max="9" width="10.109375" style="1" bestFit="1" customWidth="1"/>
    <col min="10" max="10" width="9.109375" style="1"/>
  </cols>
  <sheetData>
    <row r="2" spans="3:11" x14ac:dyDescent="0.3">
      <c r="C2" s="180" t="s">
        <v>2</v>
      </c>
      <c r="D2" s="181"/>
      <c r="E2" s="181"/>
      <c r="F2" s="181"/>
      <c r="G2" s="181"/>
      <c r="H2" s="150" t="s">
        <v>6</v>
      </c>
      <c r="I2" s="151">
        <v>10</v>
      </c>
      <c r="J2" s="152" t="s">
        <v>182</v>
      </c>
    </row>
    <row r="3" spans="3:11" x14ac:dyDescent="0.3">
      <c r="C3" s="182" t="s">
        <v>197</v>
      </c>
      <c r="D3" s="183"/>
      <c r="E3" s="183"/>
      <c r="F3" s="183"/>
      <c r="G3" s="183"/>
      <c r="H3" s="153" t="s">
        <v>194</v>
      </c>
      <c r="I3" s="154">
        <v>10</v>
      </c>
      <c r="J3" s="155" t="s">
        <v>8</v>
      </c>
    </row>
    <row r="4" spans="3:11" x14ac:dyDescent="0.3">
      <c r="C4" s="182" t="s">
        <v>203</v>
      </c>
      <c r="D4" s="183"/>
      <c r="E4" s="183"/>
      <c r="F4" s="183"/>
      <c r="G4" s="183"/>
      <c r="H4" s="153" t="s">
        <v>198</v>
      </c>
      <c r="I4" s="154">
        <v>8</v>
      </c>
      <c r="J4" s="155" t="s">
        <v>8</v>
      </c>
    </row>
    <row r="5" spans="3:11" x14ac:dyDescent="0.3">
      <c r="C5" s="182" t="s">
        <v>200</v>
      </c>
      <c r="D5" s="183"/>
      <c r="E5" s="183"/>
      <c r="F5" s="183"/>
      <c r="G5" s="183"/>
      <c r="H5" s="153" t="s">
        <v>201</v>
      </c>
      <c r="I5" s="154">
        <v>1000</v>
      </c>
      <c r="J5" s="155" t="s">
        <v>202</v>
      </c>
    </row>
    <row r="6" spans="3:11" x14ac:dyDescent="0.3">
      <c r="C6" s="182" t="s">
        <v>199</v>
      </c>
      <c r="D6" s="183"/>
      <c r="E6" s="183"/>
      <c r="F6" s="183"/>
      <c r="G6" s="183"/>
      <c r="H6" s="153" t="s">
        <v>193</v>
      </c>
      <c r="I6" s="154">
        <v>10</v>
      </c>
      <c r="J6" s="155" t="s">
        <v>8</v>
      </c>
    </row>
    <row r="7" spans="3:11" ht="15" thickBot="1" x14ac:dyDescent="0.35">
      <c r="C7" s="184" t="s">
        <v>195</v>
      </c>
      <c r="D7" s="185"/>
      <c r="E7" s="185"/>
      <c r="F7" s="185"/>
      <c r="G7" s="185"/>
      <c r="H7" s="156" t="s">
        <v>36</v>
      </c>
      <c r="I7" s="157">
        <f>ATAN(I3/I6)*180/PI()</f>
        <v>45</v>
      </c>
      <c r="J7" s="158"/>
    </row>
    <row r="8" spans="3:11" ht="15" thickBot="1" x14ac:dyDescent="0.35">
      <c r="C8" s="178" t="s">
        <v>196</v>
      </c>
      <c r="D8" s="179"/>
      <c r="E8" s="179"/>
      <c r="F8" s="179"/>
      <c r="G8" s="179"/>
      <c r="H8" s="159" t="s">
        <v>6</v>
      </c>
      <c r="I8" s="160">
        <f>I5/(COS(I7*PI()/180))</f>
        <v>1414.2135623730949</v>
      </c>
      <c r="J8" s="161" t="s">
        <v>202</v>
      </c>
      <c r="K8" s="149">
        <f>(I8-I5)/I5</f>
        <v>0.41421356237309487</v>
      </c>
    </row>
    <row r="9" spans="3:11" x14ac:dyDescent="0.3">
      <c r="G9" s="62"/>
    </row>
    <row r="10" spans="3:11" x14ac:dyDescent="0.3">
      <c r="G10" s="62"/>
    </row>
  </sheetData>
  <mergeCells count="7">
    <mergeCell ref="C8:G8"/>
    <mergeCell ref="C2:G2"/>
    <mergeCell ref="C3:G3"/>
    <mergeCell ref="C4:G4"/>
    <mergeCell ref="C5:G5"/>
    <mergeCell ref="C6:G6"/>
    <mergeCell ref="C7:G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CAVIX</vt:lpstr>
      <vt:lpstr>massa</vt:lpstr>
      <vt:lpstr>MASSATOP</vt:lpstr>
      <vt:lpstr>CON_SOB</vt:lpstr>
      <vt:lpstr>allungo</vt:lpstr>
      <vt:lpstr>cresco!</vt:lpstr>
      <vt:lpstr>carichi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gigigig</dc:creator>
  <cp:lastModifiedBy>Michele Rismondo</cp:lastModifiedBy>
  <dcterms:created xsi:type="dcterms:W3CDTF">2015-03-16T06:42:38Z</dcterms:created>
  <dcterms:modified xsi:type="dcterms:W3CDTF">2021-03-10T17:27:39Z</dcterms:modified>
</cp:coreProperties>
</file>